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216" yWindow="2775" windowWidth="19320" windowHeight="7635" tabRatio="875" activeTab="0"/>
  </bookViews>
  <sheets>
    <sheet name="ИТОГ" sheetId="1" r:id="rId1"/>
    <sheet name="Оценка" sheetId="2" state="hidden" r:id="rId2"/>
    <sheet name="Лист1" sheetId="3" state="hidden" r:id="rId3"/>
    <sheet name="Лист2" sheetId="4" state="hidden" r:id="rId4"/>
  </sheets>
  <definedNames>
    <definedName name="_xlnm._FilterDatabase" localSheetId="1" hidden="1">'Оценка'!$E$1:$E$255</definedName>
    <definedName name="Z_0251AB2D_0364_4C4B_93E5_A7F5E09A7128_.wvu.FilterData" localSheetId="0" hidden="1">'ИТОГ'!$B$6:$U$154</definedName>
    <definedName name="Z_0279B020_77BC_46CA_9132_FC741D61AEA3_.wvu.FilterData" localSheetId="0" hidden="1">'ИТОГ'!$A$6:$U$154</definedName>
    <definedName name="Z_036A7064_A1E0_4256_BEB3_EEB5F5B9B6BE_.wvu.FilterData" localSheetId="0" hidden="1">'ИТОГ'!$B$6:$U$154</definedName>
    <definedName name="Z_03E53DD2_77DC_4114_8DD9_7A47C0B13B6F_.wvu.FilterData" localSheetId="0" hidden="1">'ИТОГ'!$A$6:$U$154</definedName>
    <definedName name="Z_046F43ED_9405_421E_9272_1D228657A21D_.wvu.FilterData" localSheetId="0" hidden="1">'ИТОГ'!$B$6:$U$154</definedName>
    <definedName name="Z_05AB0B4D_93D7_4FD3_A9E4_B3CED683CC26_.wvu.FilterData" localSheetId="0" hidden="1">'ИТОГ'!$A$6:$U$154</definedName>
    <definedName name="Z_061153A4_B5D8_4BFF_8AF3_F095CD65BE25_.wvu.Cols" localSheetId="0" hidden="1">'ИТОГ'!$A:$A,'ИТОГ'!#REF!,'ИТОГ'!$H:$I,'ИТОГ'!$J:$O</definedName>
    <definedName name="Z_061153A4_B5D8_4BFF_8AF3_F095CD65BE25_.wvu.FilterData" localSheetId="0" hidden="1">'ИТОГ'!$B$6:$U$154</definedName>
    <definedName name="Z_061153A4_B5D8_4BFF_8AF3_F095CD65BE25_.wvu.PrintArea" localSheetId="0" hidden="1">'ИТОГ'!$B$1:$U$156</definedName>
    <definedName name="Z_061153A4_B5D8_4BFF_8AF3_F095CD65BE25_.wvu.PrintTitles" localSheetId="0" hidden="1">'ИТОГ'!$6:$8</definedName>
    <definedName name="Z_065709D9_BE96_45F0_88AE_E282399E1105_.wvu.FilterData" localSheetId="0" hidden="1">'ИТОГ'!$A$6:$U$154</definedName>
    <definedName name="Z_06F66222_A226_401C_A0A2_9F7E5F891CF4_.wvu.FilterData" localSheetId="0" hidden="1">'ИТОГ'!$A$6:$U$154</definedName>
    <definedName name="Z_0701B86D_ABF5_4688_B77D_2BAA91130156_.wvu.FilterData" localSheetId="0" hidden="1">'ИТОГ'!$B$6:$U$154</definedName>
    <definedName name="Z_070E8963_FA56_4DD8_9A43_13FC118B0B95_.wvu.FilterData" localSheetId="0" hidden="1">'ИТОГ'!$B$6:$U$154</definedName>
    <definedName name="Z_07B26545_1A6E_4261_87D9_4BBADF891492_.wvu.FilterData" localSheetId="0" hidden="1">'ИТОГ'!$A$6:$U$154</definedName>
    <definedName name="Z_07F1264D_E73F_4A80_9058_78B1F71D289D_.wvu.FilterData" localSheetId="0" hidden="1">'ИТОГ'!$B$6:$U$154</definedName>
    <definedName name="Z_07FDE1F8_BDBA_4024_B265_89C265D3C2ED_.wvu.FilterData" localSheetId="0" hidden="1">'ИТОГ'!$A$6:$U$154</definedName>
    <definedName name="Z_088ACC12_1D27_4345_AEED_AB0F6145894B_.wvu.FilterData" localSheetId="0" hidden="1">'ИТОГ'!$A$6:$U$154</definedName>
    <definedName name="Z_08911E0B_814E_43CF_A478_6FBB369DD7B8_.wvu.FilterData" localSheetId="0" hidden="1">'ИТОГ'!$A$6:$U$154</definedName>
    <definedName name="Z_091F06B7_3F7E_482C_AEA7_2A7BAFC93320_.wvu.FilterData" localSheetId="0" hidden="1">'ИТОГ'!$B$6:$U$154</definedName>
    <definedName name="Z_095AB7AD_56D6_4131_A692_DA9724E4C3E6_.wvu.FilterData" localSheetId="0" hidden="1">'ИТОГ'!$B$6:$U$154</definedName>
    <definedName name="Z_098AC5D4_CEC1_4AC1_A699_0B5C92D489A0_.wvu.FilterData" localSheetId="1" hidden="1">'Оценка'!$E$1:$E$255</definedName>
    <definedName name="Z_0A642FF7_507B_4939_8265_93A61AB8B70A_.wvu.FilterData" localSheetId="0" hidden="1">'ИТОГ'!$A$6:$U$154</definedName>
    <definedName name="Z_0A801A24_18E5_4ADE_8554_29B269A552E9_.wvu.FilterData" localSheetId="0" hidden="1">'ИТОГ'!$A$6:$U$154</definedName>
    <definedName name="Z_0D4032FE_C6CB_4970_879B_07B2E04A0166_.wvu.FilterData" localSheetId="0" hidden="1">'ИТОГ'!$A$6:$U$154</definedName>
    <definedName name="Z_0D5FC985_78C7_4845_8345_E6C1B97F105D_.wvu.FilterData" localSheetId="0" hidden="1">'ИТОГ'!$A$6:$U$154</definedName>
    <definedName name="Z_0D9A4CAC_FF70_4BE7_BBAB_E54B1BDA93BB_.wvu.FilterData" localSheetId="0" hidden="1">'ИТОГ'!$A$6:$U$154</definedName>
    <definedName name="Z_0DFA1089_F4FB_47F0_9DCC_029BD60E2628_.wvu.FilterData" localSheetId="0" hidden="1">'ИТОГ'!$A$6:$U$154</definedName>
    <definedName name="Z_0E472A43_79C6_4848_9E31_E42BD6D8878D_.wvu.FilterData" localSheetId="0" hidden="1">'ИТОГ'!$A$6:$U$154</definedName>
    <definedName name="Z_0E50BC73_D67D_4424_808F_A908B7D1F8CB_.wvu.FilterData" localSheetId="0" hidden="1">'ИТОГ'!$A$6:$U$154</definedName>
    <definedName name="Z_0E8D6AAA_9AAA_456C_8F7D_774D5EB50EC9_.wvu.FilterData" localSheetId="0" hidden="1">'ИТОГ'!$B$6:$U$154</definedName>
    <definedName name="Z_0E8ED597_88E9_4A53_AC5F_DE19A6EF15BA_.wvu.FilterData" localSheetId="0" hidden="1">'ИТОГ'!$B$6:$U$154</definedName>
    <definedName name="Z_100E90B3_2036_4FB5_9656_98F6BF84D997_.wvu.FilterData" localSheetId="0" hidden="1">'ИТОГ'!$A$6:$U$154</definedName>
    <definedName name="Z_10CAA457_D9A8_4537_B774_48D33CD849FD_.wvu.FilterData" localSheetId="0" hidden="1">'ИТОГ'!$B$6:$U$154</definedName>
    <definedName name="Z_10CAA457_D9A8_4537_B774_48D33CD849FD_.wvu.FilterData" localSheetId="1" hidden="1">'Оценка'!$E$1:$E$255</definedName>
    <definedName name="Z_10CC568E_70B1_462D_9F65_50499983BD3E_.wvu.FilterData" localSheetId="0" hidden="1">'ИТОГ'!$A$6:$U$154</definedName>
    <definedName name="Z_10DF0A66_2D09_40F5_B192_C5D9860431AD_.wvu.FilterData" localSheetId="0" hidden="1">'ИТОГ'!$B$6:$U$154</definedName>
    <definedName name="Z_11141333_9B09_4FEC_A96D_B891BAFBF0CF_.wvu.FilterData" localSheetId="0" hidden="1">'ИТОГ'!$A$6:$U$154</definedName>
    <definedName name="Z_13C9D263_E05B_4CE8_8B29_85E222C81FF6_.wvu.FilterData" localSheetId="0" hidden="1">'ИТОГ'!$B$6:$U$154</definedName>
    <definedName name="Z_1550ABD0_7A65_4A25_9E92_643B6C5B880C_.wvu.FilterData" localSheetId="0" hidden="1">'ИТОГ'!$A$6:$U$154</definedName>
    <definedName name="Z_1554DAD0_774C_4363_82F4_97620CCA17A2_.wvu.FilterData" localSheetId="0" hidden="1">'ИТОГ'!$B$6:$U$154</definedName>
    <definedName name="Z_166437C1_6B1B_47C2_A775_C656BA2D3872_.wvu.FilterData" localSheetId="0" hidden="1">'ИТОГ'!$A$6:$U$154</definedName>
    <definedName name="Z_17B90861_4B1D_4373_9320_A8D3C287CA2F_.wvu.FilterData" localSheetId="0" hidden="1">'ИТОГ'!$B$6:$U$154</definedName>
    <definedName name="Z_18BA27F7_B6A2_479D_8715_E11EB83644A2_.wvu.FilterData" localSheetId="0" hidden="1">'ИТОГ'!$A$6:$U$154</definedName>
    <definedName name="Z_19C5D975_98CD_46CA_BB87_D0795FB3025D_.wvu.FilterData" localSheetId="0" hidden="1">'ИТОГ'!$B$6:$U$154</definedName>
    <definedName name="Z_1A19D2AC_516C_40DF_8BAE_B174D28F8431_.wvu.FilterData" localSheetId="0" hidden="1">'ИТОГ'!$A$6:$U$154</definedName>
    <definedName name="Z_1A2DB4CC_01AA_4AB0_99AE_C04C75D389FB_.wvu.FilterData" localSheetId="0" hidden="1">'ИТОГ'!$A$6:$U$154</definedName>
    <definedName name="Z_1ADA459D_4B15_4648_A86F_3F5FA0FCCD9C_.wvu.FilterData" localSheetId="0" hidden="1">'ИТОГ'!$A$6:$U$154</definedName>
    <definedName name="Z_1CD1F745_D8A2_4AD4_B3AA_1D381FEFAA15_.wvu.FilterData" localSheetId="0" hidden="1">'ИТОГ'!$A$6:$U$154</definedName>
    <definedName name="Z_1CFD9BCD_C738_461B_8131_EA021169BD07_.wvu.FilterData" localSheetId="0" hidden="1">'ИТОГ'!$A$6:$U$154</definedName>
    <definedName name="Z_1D063B03_0341_4AD2_8A06_39C49FDCA364_.wvu.FilterData" localSheetId="0" hidden="1">'ИТОГ'!$A$6:$U$154</definedName>
    <definedName name="Z_1D6EB29F_EE30_4E4B_9BDA_49DD3A7F7BF8_.wvu.FilterData" localSheetId="0" hidden="1">'ИТОГ'!$A$6:$U$154</definedName>
    <definedName name="Z_1DDB2607_F0F3_43CF_89BE_FEB5E09E779A_.wvu.FilterData" localSheetId="0" hidden="1">'ИТОГ'!$A$6:$U$154</definedName>
    <definedName name="Z_1EBAB7F2_2019_4D27_A8A6_7CF512B92C0E_.wvu.FilterData" localSheetId="0" hidden="1">'ИТОГ'!$B$6:$U$154</definedName>
    <definedName name="Z_1FC0582D_AE31_4612_8606_CFA57E35727F_.wvu.FilterData" localSheetId="0" hidden="1">'ИТОГ'!$A$6:$U$154</definedName>
    <definedName name="Z_209328B6_61CD_40AF_BECA_1C43B91113C7_.wvu.Cols" localSheetId="1" hidden="1">'Оценка'!$J:$J</definedName>
    <definedName name="Z_209328B6_61CD_40AF_BECA_1C43B91113C7_.wvu.FilterData" localSheetId="0" hidden="1">'ИТОГ'!$B$6:$U$154</definedName>
    <definedName name="Z_209328B6_61CD_40AF_BECA_1C43B91113C7_.wvu.FilterData" localSheetId="1" hidden="1">'Оценка'!$E$1:$E$255</definedName>
    <definedName name="Z_2155B6CB_6C14_4206_86A4_EB10D1F1861B_.wvu.FilterData" localSheetId="0" hidden="1">'ИТОГ'!$A$6:$U$154</definedName>
    <definedName name="Z_2397E2DB_C3D6_4065_8FBF_E3ACACBA4C6B_.wvu.FilterData" localSheetId="0" hidden="1">'ИТОГ'!$B$6:$U$154</definedName>
    <definedName name="Z_2450727B_DD40_4C76_9CCE_05667065D087_.wvu.FilterData" localSheetId="0" hidden="1">'ИТОГ'!$B$6:$U$154</definedName>
    <definedName name="Z_248CADCC_A526_4A0E_A952_A57D346E7BF0_.wvu.FilterData" localSheetId="0" hidden="1">'ИТОГ'!$A$6:$U$154</definedName>
    <definedName name="Z_25448394_51D1_4B01_8903_4B8782905195_.wvu.FilterData" localSheetId="1" hidden="1">'Оценка'!$E$1:$E$255</definedName>
    <definedName name="Z_257DE201_6756_4FC8_87CB_4B60C6A3207A_.wvu.FilterData" localSheetId="0" hidden="1">'ИТОГ'!$A$6:$U$154</definedName>
    <definedName name="Z_262FCDF8_B97A_4390_A392_ACE8DED512DB_.wvu.Cols" localSheetId="0" hidden="1">'ИТОГ'!$A:$A,'ИТОГ'!$H:$L,'ИТОГ'!$P:$Q,'ИТОГ'!$S:$U</definedName>
    <definedName name="Z_262FCDF8_B97A_4390_A392_ACE8DED512DB_.wvu.Cols" localSheetId="1" hidden="1">'Оценка'!$J:$J</definedName>
    <definedName name="Z_262FCDF8_B97A_4390_A392_ACE8DED512DB_.wvu.FilterData" localSheetId="0" hidden="1">'ИТОГ'!$B$6:$U$154</definedName>
    <definedName name="Z_262FCDF8_B97A_4390_A392_ACE8DED512DB_.wvu.FilterData" localSheetId="1" hidden="1">'Оценка'!$E$1:$E$255</definedName>
    <definedName name="Z_262FCDF8_B97A_4390_A392_ACE8DED512DB_.wvu.PrintArea" localSheetId="0" hidden="1">'ИТОГ'!$B$1:$U$157</definedName>
    <definedName name="Z_262FCDF8_B97A_4390_A392_ACE8DED512DB_.wvu.PrintTitles" localSheetId="0" hidden="1">'ИТОГ'!$B:$C,'ИТОГ'!$6:$8</definedName>
    <definedName name="Z_2656DE7B_1428_4DDD_8D83_E893452D0E9E_.wvu.FilterData" localSheetId="0" hidden="1">'ИТОГ'!$A$6:$U$154</definedName>
    <definedName name="Z_2672A55F_BD5E_473A_95FE_65AC03043F7D_.wvu.FilterData" localSheetId="0" hidden="1">'ИТОГ'!$A$6:$U$154</definedName>
    <definedName name="Z_26FF1624_9328_4A98_A4A7_B5D2B6419AFD_.wvu.FilterData" localSheetId="0" hidden="1">'ИТОГ'!$A$6:$U$154</definedName>
    <definedName name="Z_27462A17_CDE2_4DB6_9770_3CB5AC606442_.wvu.FilterData" localSheetId="0" hidden="1">'ИТОГ'!$A$6:$U$154</definedName>
    <definedName name="Z_27D9559C_E239_44D1_A35E_FD3CAC6784B1_.wvu.FilterData" localSheetId="0" hidden="1">'ИТОГ'!$A$6:$U$154</definedName>
    <definedName name="Z_284B2C54_FFD8_4044_9255_3F9708CBBB8D_.wvu.FilterData" localSheetId="0" hidden="1">'ИТОГ'!$A$6:$U$154</definedName>
    <definedName name="Z_28BA855F_EF9C_4209_B090_0CD7B4B27EC7_.wvu.FilterData" localSheetId="0" hidden="1">'ИТОГ'!$A$6:$U$154</definedName>
    <definedName name="Z_2973211D_B21D_41C1_9940_306DC286F368_.wvu.FilterData" localSheetId="0" hidden="1">'ИТОГ'!$A$6:$U$154</definedName>
    <definedName name="Z_2A2156BB_D4AE_49DB_A9DA_85EBDFA84AE4_.wvu.FilterData" localSheetId="0" hidden="1">'ИТОГ'!$B$6:$U$154</definedName>
    <definedName name="Z_2AE4CD08_DB63_408C_BF04_903148BE47C8_.wvu.FilterData" localSheetId="0" hidden="1">'ИТОГ'!$A$6:$U$154</definedName>
    <definedName name="Z_2B08BC5D_ADD3_48E8_B449_B9F0F8EA7883_.wvu.FilterData" localSheetId="0" hidden="1">'ИТОГ'!$A$6:$U$154</definedName>
    <definedName name="Z_2BBFA253_2E45_4617_9E43_1DDFA6EFB9FC_.wvu.FilterData" localSheetId="0" hidden="1">'ИТОГ'!$B$6:$U$154</definedName>
    <definedName name="Z_2C1539BE_826F_4840_945E_6D30DDC1CE6F_.wvu.FilterData" localSheetId="0" hidden="1">'ИТОГ'!$B$6:$U$154</definedName>
    <definedName name="Z_2CAE6299_6208_4913_8B50_4886F6B5E6FF_.wvu.FilterData" localSheetId="0" hidden="1">'ИТОГ'!$A$6:$U$154</definedName>
    <definedName name="Z_2D6866F4_6DF4_4255_AB30_50424369AD07_.wvu.FilterData" localSheetId="0" hidden="1">'ИТОГ'!$A$6:$U$154</definedName>
    <definedName name="Z_2D978318_593E_4489_9B8C_DB3733686CDA_.wvu.FilterData" localSheetId="0" hidden="1">'ИТОГ'!$A$6:$U$154</definedName>
    <definedName name="Z_2E6F8304_08CF_498B_B3B2_EE7C286BCA03_.wvu.FilterData" localSheetId="0" hidden="1">'ИТОГ'!$A$6:$U$154</definedName>
    <definedName name="Z_2EAA5321_E5E1_4B13_8D41_B6932E905F01_.wvu.FilterData" localSheetId="0" hidden="1">'ИТОГ'!$A$6:$U$154</definedName>
    <definedName name="Z_2ED2073D_31D9_473C_9ADB_93B65A0DFF4B_.wvu.FilterData" localSheetId="0" hidden="1">'ИТОГ'!$A$6:$U$154</definedName>
    <definedName name="Z_305D8B8F_AEB9_4025_BE84_C03138153880_.wvu.FilterData" localSheetId="0" hidden="1">'ИТОГ'!$B$6:$U$154</definedName>
    <definedName name="Z_31989B65_717A_4F7E_AD5A_A3B24FA19FA3_.wvu.FilterData" localSheetId="0" hidden="1">'ИТОГ'!$A$6:$U$154</definedName>
    <definedName name="Z_324DBB3A_B608_4A73_807C_F0B30B61769F_.wvu.FilterData" localSheetId="0" hidden="1">'ИТОГ'!$B$6:$U$154</definedName>
    <definedName name="Z_32798E0D_A487_48BC_9A5D_A6A6ED67FCC3_.wvu.FilterData" localSheetId="0" hidden="1">'ИТОГ'!$A$6:$U$154</definedName>
    <definedName name="Z_34C34572_D98F_44A9_8B2B_1058BE8A8FDB_.wvu.FilterData" localSheetId="0" hidden="1">'ИТОГ'!$A$6:$U$154</definedName>
    <definedName name="Z_3528649B_E8CA_4CE7_88BE_50BEE5856068_.wvu.FilterData" localSheetId="0" hidden="1">'ИТОГ'!$A$6:$U$154</definedName>
    <definedName name="Z_35F3FF6B_E1CC_497E_951C_43E6F0A34F18_.wvu.FilterData" localSheetId="0" hidden="1">'ИТОГ'!$B$6:$U$154</definedName>
    <definedName name="Z_36BA5A11_59E9_47A9_91E6_18B4FD22E065_.wvu.FilterData" localSheetId="0" hidden="1">'ИТОГ'!$B$6:$U$154</definedName>
    <definedName name="Z_36BBC6CE_CFDE_46D6_A417_0AD7F8684295_.wvu.FilterData" localSheetId="0" hidden="1">'ИТОГ'!$A$6:$U$154</definedName>
    <definedName name="Z_370CDA3F_C7AD_45E4_BC77_CCF9779944CD_.wvu.FilterData" localSheetId="0" hidden="1">'ИТОГ'!$A$6:$U$154</definedName>
    <definedName name="Z_378C9BCE_4715_40AA_82C4_C7C30364A105_.wvu.FilterData" localSheetId="0" hidden="1">'ИТОГ'!$A$6:$U$154</definedName>
    <definedName name="Z_3894F89A_B9B8_49F2_86A2_664829DE476E_.wvu.FilterData" localSheetId="0" hidden="1">'ИТОГ'!$A$6:$U$154</definedName>
    <definedName name="Z_3898CEA9_D203_4E88_8CA5_F34B568AA48E_.wvu.FilterData" localSheetId="0" hidden="1">'ИТОГ'!$A$6:$U$154</definedName>
    <definedName name="Z_3930B543_D36D_4CD1_A1DA_7A44B81A85AD_.wvu.FilterData" localSheetId="0" hidden="1">'ИТОГ'!$A$6:$U$154</definedName>
    <definedName name="Z_39439C18_9F17_4C41_8973_E0F11A7A9546_.wvu.FilterData" localSheetId="0" hidden="1">'ИТОГ'!$B$6:$U$154</definedName>
    <definedName name="Z_3A2C71E2_72C4_4D43_92CB_CF7E701F0C82_.wvu.FilterData" localSheetId="0" hidden="1">'ИТОГ'!$A$6:$U$154</definedName>
    <definedName name="Z_3A967192_199B_499C_A853_B460FA56BCA8_.wvu.FilterData" localSheetId="0" hidden="1">'ИТОГ'!$A$6:$U$154</definedName>
    <definedName name="Z_3AE4CF11_E6A1_4814_B6A2_1588D90CFF2F_.wvu.FilterData" localSheetId="0" hidden="1">'ИТОГ'!$B$6:$U$154</definedName>
    <definedName name="Z_3BFF7300_3E12_4166_A97E_10B73D080C5D_.wvu.FilterData" localSheetId="0" hidden="1">'ИТОГ'!$A$6:$U$154</definedName>
    <definedName name="Z_3C63AAA4_68C6_43C0_8957_D2EE24D57D7A_.wvu.FilterData" localSheetId="0" hidden="1">'ИТОГ'!$A$6:$U$154</definedName>
    <definedName name="Z_3CB023D6_7FAF_4694_9EFF_60B528A7D09D_.wvu.FilterData" localSheetId="0" hidden="1">'ИТОГ'!$A$6:$U$154</definedName>
    <definedName name="Z_3DE53265_96FB_4C87_B8B0_E2CFBC631DFD_.wvu.FilterData" localSheetId="0" hidden="1">'ИТОГ'!$A$6:$U$154</definedName>
    <definedName name="Z_3FA8AEDF_4D32_4785_8D45_F0DD532699F8_.wvu.FilterData" localSheetId="0" hidden="1">'ИТОГ'!$A$6:$U$154</definedName>
    <definedName name="Z_40DAC99B_6F3A_41D7_8501_8EE54E7D9729_.wvu.FilterData" localSheetId="0" hidden="1">'ИТОГ'!$A$6:$U$154</definedName>
    <definedName name="Z_411F7583_C477_465F_8C20_54961E0F9B5A_.wvu.FilterData" localSheetId="0" hidden="1">'ИТОГ'!$A$6:$U$154</definedName>
    <definedName name="Z_41F70B73_167D_4ED6_8519_B6FB812F7560_.wvu.FilterData" localSheetId="0" hidden="1">'ИТОГ'!$A$6:$U$154</definedName>
    <definedName name="Z_42008987_A96F_4204_927B_1F0DCFE7C80F_.wvu.FilterData" localSheetId="0" hidden="1">'ИТОГ'!$A$6:$U$154</definedName>
    <definedName name="Z_4242792F_15AA_4BFE_9BC4_AE75A251E9CA_.wvu.FilterData" localSheetId="0" hidden="1">'ИТОГ'!$A$6:$U$154</definedName>
    <definedName name="Z_4288EFDB_BC09_467F_8016_918A85026639_.wvu.FilterData" localSheetId="0" hidden="1">'ИТОГ'!$A$6:$U$154</definedName>
    <definedName name="Z_42EC13C0_5BCC_45E2_8C3F_FDA257AA1CA4_.wvu.FilterData" localSheetId="0" hidden="1">'ИТОГ'!$A$6:$U$154</definedName>
    <definedName name="Z_44089788_648B_4B84_AA2B_34EFB46E19C3_.wvu.FilterData" localSheetId="0" hidden="1">'ИТОГ'!$A$6:$U$154</definedName>
    <definedName name="Z_4425F7E1_5A43_4586_8732_68FE82D5C2E2_.wvu.FilterData" localSheetId="0" hidden="1">'ИТОГ'!$B$6:$U$154</definedName>
    <definedName name="Z_452F0936_7A3E_434E_A97E_31668A8E39FA_.wvu.FilterData" localSheetId="0" hidden="1">'ИТОГ'!$B$6:$U$154</definedName>
    <definedName name="Z_45E054E5_0F06_4AA4_A9B8_97F89D01ECFF_.wvu.FilterData" localSheetId="0" hidden="1">'ИТОГ'!$A$6:$U$154</definedName>
    <definedName name="Z_46C3EAEF_DC7F_444F_A80F_690A08F7419E_.wvu.FilterData" localSheetId="0" hidden="1">'ИТОГ'!$B$6:$U$154</definedName>
    <definedName name="Z_470347FA_1845_443C_97CA_01C9A7491ACA_.wvu.FilterData" localSheetId="0" hidden="1">'ИТОГ'!$A$6:$U$154</definedName>
    <definedName name="Z_47D758BE_A3E3_4E3B_BEB9_DC51B9AD91E1_.wvu.FilterData" localSheetId="0" hidden="1">'ИТОГ'!$B$6:$U$154</definedName>
    <definedName name="Z_47DBE119_F94C_4758_9772_28799356CC44_.wvu.FilterData" localSheetId="0" hidden="1">'ИТОГ'!$A$6:$U$154</definedName>
    <definedName name="Z_48891E98_8CFA_4050_A7B5_30C7909BAF2E_.wvu.FilterData" localSheetId="0" hidden="1">'ИТОГ'!$B$6:$U$154</definedName>
    <definedName name="Z_49041A58_C0FB_401F_9C8B_673E23D31AC4_.wvu.FilterData" localSheetId="0" hidden="1">'ИТОГ'!$A$6:$U$154</definedName>
    <definedName name="Z_49640AB0_82F9_4FAE_9941_FC2D464C88D7_.wvu.FilterData" localSheetId="0" hidden="1">'ИТОГ'!$A$6:$U$154</definedName>
    <definedName name="Z_496B2F99_1EA8_4BD5_A219_E272F54133E1_.wvu.FilterData" localSheetId="0" hidden="1">'ИТОГ'!$B$1:$U$154</definedName>
    <definedName name="Z_496B2F99_1EA8_4BD5_A219_E272F54133E1_.wvu.FilterData" localSheetId="1" hidden="1">'Оценка'!$E$1:$E$255</definedName>
    <definedName name="Z_49F3D15B_6CE7_46C4_A2C2_2DCF8E813D10_.wvu.FilterData" localSheetId="0" hidden="1">'ИТОГ'!$A$6:$U$154</definedName>
    <definedName name="Z_4A273A2E_D0B3_4212_9EB2_BAAEC0167C38_.wvu.FilterData" localSheetId="0" hidden="1">'ИТОГ'!$A$6:$U$154</definedName>
    <definedName name="Z_4B994147_6A5B_42ED_A32B_EE3007EB7AC2_.wvu.FilterData" localSheetId="0" hidden="1">'ИТОГ'!$A$6:$U$154</definedName>
    <definedName name="Z_4CFD717D_174F_4C3D_AFC4_A0B156333326_.wvu.FilterData" localSheetId="0" hidden="1">'ИТОГ'!$A$6:$U$154</definedName>
    <definedName name="Z_4DBAB17B_217B_4EA3_900E_EA1A988DFDE5_.wvu.FilterData" localSheetId="0" hidden="1">'ИТОГ'!$A$6:$U$154</definedName>
    <definedName name="Z_4DBFC380_6B5B_407C_8ACB_92E4F73821F8_.wvu.FilterData" localSheetId="0" hidden="1">'ИТОГ'!$A$6:$U$154</definedName>
    <definedName name="Z_4DD9ECF6_3BB2_4FDE_B27F_0B16299EBE67_.wvu.FilterData" localSheetId="0" hidden="1">'ИТОГ'!$B$6:$U$154</definedName>
    <definedName name="Z_4E0A4B69_34ED_4C8C_B5F5_858D54D0A2A5_.wvu.FilterData" localSheetId="0" hidden="1">'ИТОГ'!$B$6:$U$154</definedName>
    <definedName name="Z_4EB748B2_6FC1_4242_9AD6_77B3D4605A28_.wvu.FilterData" localSheetId="0" hidden="1">'ИТОГ'!$A$6:$U$154</definedName>
    <definedName name="Z_4EDC2FF4_0E82_459B_837C_E6F0F6972952_.wvu.FilterData" localSheetId="0" hidden="1">'ИТОГ'!$B$6:$U$154</definedName>
    <definedName name="Z_4EDC2FF4_0E82_459B_837C_E6F0F6972952_.wvu.FilterData" localSheetId="1" hidden="1">'Оценка'!$E$1:$E$255</definedName>
    <definedName name="Z_4F3C6960_884A_4233_A338_BD41CF381D51_.wvu.FilterData" localSheetId="0" hidden="1">'ИТОГ'!$A$6:$U$154</definedName>
    <definedName name="Z_4F6B78AF_A06F_449E_B95C_49F6AD05A819_.wvu.FilterData" localSheetId="0" hidden="1">'ИТОГ'!$B$6:$U$154</definedName>
    <definedName name="Z_4F84F351_F4B5_4AAA_8B3D_CE6B6B3B5513_.wvu.FilterData" localSheetId="0" hidden="1">'ИТОГ'!$B$6:$U$154</definedName>
    <definedName name="Z_4F84F351_F4B5_4AAA_8B3D_CE6B6B3B5513_.wvu.FilterData" localSheetId="1" hidden="1">'Оценка'!$E$1:$E$255</definedName>
    <definedName name="Z_50777885_73E0_4A85_B36D_02E196AD1CD5_.wvu.FilterData" localSheetId="0" hidden="1">'ИТОГ'!$B$6:$U$154</definedName>
    <definedName name="Z_50B9E807_45A4_4004_B38B_008F82A4AFE1_.wvu.FilterData" localSheetId="0" hidden="1">'ИТОГ'!$A$6:$U$154</definedName>
    <definedName name="Z_514C3E6D_0026_43D2_83C6_64E8562306CA_.wvu.FilterData" localSheetId="0" hidden="1">'ИТОГ'!$A$6:$U$154</definedName>
    <definedName name="Z_51632F1C_4935_4A4E_B68E_461929D47310_.wvu.FilterData" localSheetId="0" hidden="1">'ИТОГ'!$A$6:$U$154</definedName>
    <definedName name="Z_519EB1DE_E126_4B9F_AF7A_608FD3FB1DB9_.wvu.FilterData" localSheetId="0" hidden="1">'ИТОГ'!$B$6:$U$154</definedName>
    <definedName name="Z_54C7402C_CD80_4B68_9062_A769B644D3C9_.wvu.FilterData" localSheetId="0" hidden="1">'ИТОГ'!$A$6:$U$154</definedName>
    <definedName name="Z_54D8E1AE_1FB0_4E69_976E_FAF68F240965_.wvu.FilterData" localSheetId="0" hidden="1">'ИТОГ'!$A$6:$U$154</definedName>
    <definedName name="Z_551C17C2_4B67_4A47_B81E_009EB42211C0_.wvu.FilterData" localSheetId="0" hidden="1">'ИТОГ'!$A$6:$U$154</definedName>
    <definedName name="Z_553E5857_9E8D_404A_9D7A_8052FC6C783D_.wvu.FilterData" localSheetId="0" hidden="1">'ИТОГ'!$A$6:$U$154</definedName>
    <definedName name="Z_55BC3292_FCEA_43DD_A24E_CF9582BADE11_.wvu.FilterData" localSheetId="0" hidden="1">'ИТОГ'!$A$6:$U$154</definedName>
    <definedName name="Z_56073EB6_C3DF_45F7_A860_9E76692FD85F_.wvu.FilterData" localSheetId="0" hidden="1">'ИТОГ'!$B$6:$U$154</definedName>
    <definedName name="Z_572DA0CC_7482_4AF8_826B_69794D3EAC6F_.wvu.FilterData" localSheetId="0" hidden="1">'ИТОГ'!$A$6:$U$154</definedName>
    <definedName name="Z_572E1FA0_536E_4E7E_9697_8FF3B32965AD_.wvu.FilterData" localSheetId="0" hidden="1">'ИТОГ'!$B$6:$U$154</definedName>
    <definedName name="Z_574A969C_EA23_4175_8D26_F1DF3FC39164_.wvu.FilterData" localSheetId="0" hidden="1">'ИТОГ'!$A$6:$U$154</definedName>
    <definedName name="Z_57B5AC88_9150_43B5_80BF_85D4A86A69B8_.wvu.FilterData" localSheetId="0" hidden="1">'ИТОГ'!$A$6:$U$154</definedName>
    <definedName name="Z_57D57428_3534_4634_BF8C_72FDA5653DA4_.wvu.FilterData" localSheetId="0" hidden="1">'ИТОГ'!$B$6:$U$154</definedName>
    <definedName name="Z_57D74315_AC3C_4A59_846D_E00BDD0A8957_.wvu.FilterData" localSheetId="0" hidden="1">'ИТОГ'!$A$6:$U$154</definedName>
    <definedName name="Z_57E4AAE0_D9E9_4865_8D3C_351529F5C2E3_.wvu.FilterData" localSheetId="0" hidden="1">'ИТОГ'!$A$6:$U$154</definedName>
    <definedName name="Z_57F8A0ED_26E1_44FF_B316_0DF5AFED567C_.wvu.FilterData" localSheetId="0" hidden="1">'ИТОГ'!$A$6:$U$154</definedName>
    <definedName name="Z_58798872_BE17_4D31_BBB9_E5DBFE60899E_.wvu.FilterData" localSheetId="0" hidden="1">'ИТОГ'!$B$6:$U$154</definedName>
    <definedName name="Z_58A1964F_91FF_4847_A5E1_A9584A49212C_.wvu.FilterData" localSheetId="0" hidden="1">'ИТОГ'!$A$6:$U$154</definedName>
    <definedName name="Z_58FD96C0_1780_4FB0_BBC7_023FBE86C211_.wvu.FilterData" localSheetId="0" hidden="1">'ИТОГ'!$A$6:$U$154</definedName>
    <definedName name="Z_5946BA6B_8A19_4ACB_87FB_FC031D3C96B3_.wvu.FilterData" localSheetId="0" hidden="1">'ИТОГ'!$A$6:$U$154</definedName>
    <definedName name="Z_5C8CE8DE_E1AB_4453_B0F7_7A6CCDF275EC_.wvu.FilterData" localSheetId="0" hidden="1">'ИТОГ'!$B$6:$U$154</definedName>
    <definedName name="Z_5D4283B3_BF8E_4C48_85D7_983D5D68A758_.wvu.FilterData" localSheetId="0" hidden="1">'ИТОГ'!$A$6:$U$154</definedName>
    <definedName name="Z_5D75CEF3_9774_4478_B808_D663C4801DE5_.wvu.FilterData" localSheetId="0" hidden="1">'ИТОГ'!$A$6:$U$154</definedName>
    <definedName name="Z_5D9C28F8_1D30_4353_80A1_7E96B76FB5DE_.wvu.FilterData" localSheetId="0" hidden="1">'ИТОГ'!$B$6:$U$154</definedName>
    <definedName name="Z_5E233461_93D1_4831_9593_925FF27CBF98_.wvu.FilterData" localSheetId="0" hidden="1">'ИТОГ'!$A$6:$U$154</definedName>
    <definedName name="Z_605071F0_9C25_4DE3_B778_3226B811FE65_.wvu.FilterData" localSheetId="0" hidden="1">'ИТОГ'!$A$6:$U$154</definedName>
    <definedName name="Z_623F50E6_6340_47F8_B648_89A6C1798A74_.wvu.FilterData" localSheetId="0" hidden="1">'ИТОГ'!$B$6:$U$154</definedName>
    <definedName name="Z_62748DC3_C039_4B28_AFB4_F678F7CBD0E8_.wvu.FilterData" localSheetId="0" hidden="1">'ИТОГ'!$A$6:$U$154</definedName>
    <definedName name="Z_639CC15B_C35A_4DD8_9C90_DD1FD684B52F_.wvu.FilterData" localSheetId="0" hidden="1">'ИТОГ'!$B$6:$U$154</definedName>
    <definedName name="Z_63A2B3D8_446F_437B_9C1E_8BE9E6A19801_.wvu.FilterData" localSheetId="0" hidden="1">'ИТОГ'!$A$6:$U$154</definedName>
    <definedName name="Z_63B33DD0_46F0_4B80_BC83_B1F4CA850749_.wvu.FilterData" localSheetId="0" hidden="1">'ИТОГ'!$A$6:$U$154</definedName>
    <definedName name="Z_63E02A1A_3519_42A4_A835_70D64F7AAD78_.wvu.FilterData" localSheetId="0" hidden="1">'ИТОГ'!$B$6:$U$154</definedName>
    <definedName name="Z_64B0791F_5923_454A_A73E_997B77B9926D_.wvu.FilterData" localSheetId="0" hidden="1">'ИТОГ'!$B$6:$U$154</definedName>
    <definedName name="Z_64B2F574_AA1F_4AA6_8014_7273BC627481_.wvu.FilterData" localSheetId="0" hidden="1">'ИТОГ'!$A$6:$U$154</definedName>
    <definedName name="Z_64F156D8_E4E4_45F7_B0D7_DE8F6483791B_.wvu.FilterData" localSheetId="0" hidden="1">'ИТОГ'!$A$6:$U$154</definedName>
    <definedName name="Z_657F10EE_A58C_4B8D_A6B3_3AC044EB3B0A_.wvu.FilterData" localSheetId="0" hidden="1">'ИТОГ'!$A$6:$U$154</definedName>
    <definedName name="Z_65AB6A99_159C_410D_86B8_8A48C663BE69_.wvu.FilterData" localSheetId="0" hidden="1">'ИТОГ'!$A$6:$U$154</definedName>
    <definedName name="Z_65B28619_CBBC_4C46_AB47_FD9E28D04CF9_.wvu.FilterData" localSheetId="0" hidden="1">'ИТОГ'!$A$6:$U$154</definedName>
    <definedName name="Z_65F29EDA_E0F2_45AC_AB12_8F53B0A4411F_.wvu.FilterData" localSheetId="0" hidden="1">'ИТОГ'!$A$6:$U$154</definedName>
    <definedName name="Z_67737105_2301_42AD_903B_FD1946BA2BFB_.wvu.FilterData" localSheetId="0" hidden="1">'ИТОГ'!$B$6:$U$154</definedName>
    <definedName name="Z_69C3C819_CF21_4CB1_B648_B9B28A024EC0_.wvu.FilterData" localSheetId="0" hidden="1">'ИТОГ'!$B$6:$U$154</definedName>
    <definedName name="Z_6A14CF7F_851F_4A47_BF2A_15EC30B3C88D_.wvu.FilterData" localSheetId="0" hidden="1">'ИТОГ'!$B$6:$U$154</definedName>
    <definedName name="Z_6ECDE945_775A_4A7D_A018_1C350DF19807_.wvu.FilterData" localSheetId="0" hidden="1">'ИТОГ'!$A$6:$U$154</definedName>
    <definedName name="Z_6FA88871_933C_4AC4_BD96_30C818255680_.wvu.FilterData" localSheetId="0" hidden="1">'ИТОГ'!$B$6:$U$154</definedName>
    <definedName name="Z_702C4762_22C2_4F62_B37B_9925B295DB06_.wvu.FilterData" localSheetId="0" hidden="1">'ИТОГ'!$A$6:$U$154</definedName>
    <definedName name="Z_702FB11D_F5D7_43C6_ADAC_B46657EB0908_.wvu.FilterData" localSheetId="0" hidden="1">'ИТОГ'!$A$6:$U$154</definedName>
    <definedName name="Z_70BCC0BB_18A2_4A61_88F5_9284A1F23F3F_.wvu.FilterData" localSheetId="0" hidden="1">'ИТОГ'!$A$6:$U$154</definedName>
    <definedName name="Z_70D54DC4_EBB6_4770_B04A_E71ACB6E4C30_.wvu.FilterData" localSheetId="0" hidden="1">'ИТОГ'!$B$6:$U$154</definedName>
    <definedName name="Z_70D54DC4_EBB6_4770_B04A_E71ACB6E4C30_.wvu.FilterData" localSheetId="1" hidden="1">'Оценка'!$E$1:$E$255</definedName>
    <definedName name="Z_7114B509_EBE3_4284_A4AB_2EE171AFC62A_.wvu.FilterData" localSheetId="0" hidden="1">'ИТОГ'!$B$6:$U$154</definedName>
    <definedName name="Z_71268CF3_1F76_4B18_BFD4_6758D71CB332_.wvu.FilterData" localSheetId="0" hidden="1">'ИТОГ'!$A$6:$U$154</definedName>
    <definedName name="Z_714C7FDC_D806_4A8C_9C31_D734683B0591_.wvu.FilterData" localSheetId="0" hidden="1">'ИТОГ'!$B$6:$U$154</definedName>
    <definedName name="Z_717B96AF_E1EF_49A5_8700_724557EDEB5D_.wvu.FilterData" localSheetId="0" hidden="1">'ИТОГ'!$A$6:$U$154</definedName>
    <definedName name="Z_71ECD269_EB99_4EEB_8FD1_A68A56EC0B56_.wvu.FilterData" localSheetId="0" hidden="1">'ИТОГ'!$B$6:$U$154</definedName>
    <definedName name="Z_722304AD_CC36_4A9D_B3AC_205DEF1BBCAE_.wvu.FilterData" localSheetId="0" hidden="1">'ИТОГ'!$A$6:$U$154</definedName>
    <definedName name="Z_729A645F_C9C5_4888_8EC0_1155371BA66A_.wvu.FilterData" localSheetId="0" hidden="1">'ИТОГ'!$B$6:$U$154</definedName>
    <definedName name="Z_7361CCB6_248B_4AE6_BBD4_D54955A31A9F_.wvu.FilterData" localSheetId="0" hidden="1">'ИТОГ'!$A$6:$U$154</definedName>
    <definedName name="Z_74AB2967_76AB_4FC7_BC42_CCF68C13F1F9_.wvu.FilterData" localSheetId="0" hidden="1">'ИТОГ'!$A$6:$U$154</definedName>
    <definedName name="Z_7522A4AB_EBED_4793_BE30_9071478E7545_.wvu.FilterData" localSheetId="0" hidden="1">'ИТОГ'!$A$6:$U$154</definedName>
    <definedName name="Z_7527E0EB_FC23_4ABB_83C3_FB61C78F624A_.wvu.FilterData" localSheetId="0" hidden="1">'ИТОГ'!$A$6:$U$154</definedName>
    <definedName name="Z_75454AE8_9F5D_4892_9B4A_8026714EB8C8_.wvu.FilterData" localSheetId="0" hidden="1">'ИТОГ'!$B$6:$U$154</definedName>
    <definedName name="Z_75454AE8_9F5D_4892_9B4A_8026714EB8C8_.wvu.FilterData" localSheetId="1" hidden="1">'Оценка'!$E$1:$E$255</definedName>
    <definedName name="Z_76143A7F_960C_4CE1_83DD_1C772028A777_.wvu.FilterData" localSheetId="0" hidden="1">'ИТОГ'!$A$6:$U$154</definedName>
    <definedName name="Z_761B3ADC_6B67_48B5_8EC4_1E6A86421607_.wvu.FilterData" localSheetId="0" hidden="1">'ИТОГ'!$B$6:$U$154</definedName>
    <definedName name="Z_76F7E971_A022_4132_8441_7DBB3802C898_.wvu.FilterData" localSheetId="0" hidden="1">'ИТОГ'!$A$6:$U$154</definedName>
    <definedName name="Z_77258164_43EB_4E83_B397_EADE4DA050F7_.wvu.FilterData" localSheetId="0" hidden="1">'ИТОГ'!$B$6:$U$154</definedName>
    <definedName name="Z_789DA251_30AE_486E_8FFC_F7321FE084E2_.wvu.FilterData" localSheetId="0" hidden="1">'ИТОГ'!$A$6:$U$154</definedName>
    <definedName name="Z_79890110_D1AC_4A23_87CA_7AAE69EE6213_.wvu.FilterData" localSheetId="0" hidden="1">'ИТОГ'!$A$6:$U$154</definedName>
    <definedName name="Z_79ACF827_EACD_43C3_8D52_203603ABB45E_.wvu.FilterData" localSheetId="0" hidden="1">'ИТОГ'!$A$6:$U$154</definedName>
    <definedName name="Z_79E723EB_18E1_478E_8C1C_35631E17B47D_.wvu.FilterData" localSheetId="0" hidden="1">'ИТОГ'!$A$6:$U$154</definedName>
    <definedName name="Z_7A05DC8C_C257_45EE_A6A0_0045DE9C38C5_.wvu.FilterData" localSheetId="0" hidden="1">'ИТОГ'!$B$6:$U$154</definedName>
    <definedName name="Z_7A7762FE_9A30_4922_BF48_8B8F2B3F1B8C_.wvu.FilterData" localSheetId="0" hidden="1">'ИТОГ'!$B$6:$U$154</definedName>
    <definedName name="Z_7AD32095_B65E_47FF_AED0_9086A13204B4_.wvu.FilterData" localSheetId="0" hidden="1">'ИТОГ'!$B$6:$U$154</definedName>
    <definedName name="Z_7B46269A_5B2F_41F4_844B_5266ED71841D_.wvu.FilterData" localSheetId="0" hidden="1">'ИТОГ'!$A$6:$U$154</definedName>
    <definedName name="Z_7BA286A7_8CFB_4366_81B6_F2B6FEA8069E_.wvu.FilterData" localSheetId="0" hidden="1">'ИТОГ'!$B$6:$U$154</definedName>
    <definedName name="Z_7BC0F99E_ACBA_4414_B602_663B1471959E_.wvu.FilterData" localSheetId="0" hidden="1">'ИТОГ'!$A$6:$U$154</definedName>
    <definedName name="Z_7C4C8303_A935_46D5_B87E_658AC88840EF_.wvu.FilterData" localSheetId="0" hidden="1">'ИТОГ'!$A$6:$U$154</definedName>
    <definedName name="Z_7D7B84D4_0D95_48BD_8DE0_3C587F4895EE_.wvu.FilterData" localSheetId="0" hidden="1">'ИТОГ'!$A$6:$U$154</definedName>
    <definedName name="Z_7DC15419_9401_470E_8169_96BC198AE17C_.wvu.FilterData" localSheetId="0" hidden="1">'ИТОГ'!$A$6:$U$154</definedName>
    <definedName name="Z_7E583E91_4335_4687_9999_5C27ED857866_.wvu.FilterData" localSheetId="0" hidden="1">'ИТОГ'!$A$6:$U$154</definedName>
    <definedName name="Z_7EF1D563_DE79_4679_B230_01A35961864A_.wvu.FilterData" localSheetId="0" hidden="1">'ИТОГ'!$A$6:$U$154</definedName>
    <definedName name="Z_7F27EC15_72AB_40DF_B0BC_B88DAB7B3A54_.wvu.FilterData" localSheetId="0" hidden="1">'ИТОГ'!$A$6:$U$154</definedName>
    <definedName name="Z_80E6B43F_70AF_4B82_B0EB_0B1D1296AD37_.wvu.FilterData" localSheetId="0" hidden="1">'ИТОГ'!$B$1:$U$154</definedName>
    <definedName name="Z_81474B42_750D_48C1_89EA_0FBD11BA42A1_.wvu.FilterData" localSheetId="0" hidden="1">'ИТОГ'!$A$6:$U$154</definedName>
    <definedName name="Z_8172B071_85F3_42D2_AB70_CF1E9B083522_.wvu.FilterData" localSheetId="0" hidden="1">'ИТОГ'!$B$6:$U$154</definedName>
    <definedName name="Z_8214099D_9579_438D_A44D_20D8A17E0781_.wvu.FilterData" localSheetId="0" hidden="1">'ИТОГ'!$B$6:$U$154</definedName>
    <definedName name="Z_823B0D11_8795_4CA1_A762_86602E96A0B1_.wvu.FilterData" localSheetId="0" hidden="1">'ИТОГ'!$A$6:$U$154</definedName>
    <definedName name="Z_82A385AB_C926_4ABA_A93E_76011F00F974_.wvu.FilterData" localSheetId="0" hidden="1">'ИТОГ'!$B$6:$U$154</definedName>
    <definedName name="Z_82A7CE51_8F2B_4333_9191_0B73D845DDE2_.wvu.FilterData" localSheetId="0" hidden="1">'ИТОГ'!$A$6:$U$154</definedName>
    <definedName name="Z_836AC8C9_18C0_47CF_9473_8F32E889DB43_.wvu.FilterData" localSheetId="0" hidden="1">'ИТОГ'!$A$6:$U$154</definedName>
    <definedName name="Z_836B2F84_5342_47D6_A639_299FAA4D1351_.wvu.FilterData" localSheetId="0" hidden="1">'ИТОГ'!$B$1:$U$154</definedName>
    <definedName name="Z_837FE0DE_5BAE_4287_803E_B167A717962F_.wvu.FilterData" localSheetId="0" hidden="1">'ИТОГ'!$B$6:$U$154</definedName>
    <definedName name="Z_83952C56_D4C4_4AF4_8336_6D925FB8BEC2_.wvu.FilterData" localSheetId="0" hidden="1">'ИТОГ'!$B$6:$U$154</definedName>
    <definedName name="Z_83952C56_D4C4_4AF4_8336_6D925FB8BEC2_.wvu.FilterData" localSheetId="1" hidden="1">'Оценка'!$E$1:$E$255</definedName>
    <definedName name="Z_83E6C20E_E9DB_4419_9B8F_CCE603052658_.wvu.FilterData" localSheetId="0" hidden="1">'ИТОГ'!$B$6:$U$154</definedName>
    <definedName name="Z_8421F9AE_83A5_458B_ACBE_92CB8FD527DB_.wvu.FilterData" localSheetId="0" hidden="1">'ИТОГ'!$A$6:$U$154</definedName>
    <definedName name="Z_860D0BA8_ACED_41F4_BBAB_9563CAA52DC5_.wvu.FilterData" localSheetId="0" hidden="1">'ИТОГ'!$A$6:$U$154</definedName>
    <definedName name="Z_874FDE5E_82EF_4BDE_96F0_6E26E0ADD6B3_.wvu.FilterData" localSheetId="0" hidden="1">'ИТОГ'!$A$6:$U$154</definedName>
    <definedName name="Z_87A44FFB_A2F4_4E95_B409_3BC7651779A5_.wvu.FilterData" localSheetId="0" hidden="1">'ИТОГ'!$B$6:$U$154</definedName>
    <definedName name="Z_88232C77_F6BC_4EA5_96F7_49EDB92095E8_.wvu.FilterData" localSheetId="0" hidden="1">'ИТОГ'!$A$6:$U$154</definedName>
    <definedName name="Z_8850F9CC_C17B_4B18_B49A_1DF96ED6C74F_.wvu.FilterData" localSheetId="0" hidden="1">'ИТОГ'!$A$6:$U$154</definedName>
    <definedName name="Z_88523DD6_C88C_45DB_B9B8_B3FFC1D5AF98_.wvu.FilterData" localSheetId="0" hidden="1">'ИТОГ'!$A$6:$U$154</definedName>
    <definedName name="Z_8875F715_0DFB_4DE3_A1D4_AE3DB009949C_.wvu.FilterData" localSheetId="0" hidden="1">'ИТОГ'!$A$6:$U$154</definedName>
    <definedName name="Z_8A43A5A5_1018_40BA_B59E_D21CD8CD190D_.wvu.FilterData" localSheetId="0" hidden="1">'ИТОГ'!$A$6:$U$154</definedName>
    <definedName name="Z_8B58D334_8794_42E9_A34A_F811FDF658DB_.wvu.FilterData" localSheetId="0" hidden="1">'ИТОГ'!$A$6:$U$154</definedName>
    <definedName name="Z_8BF4E6D7_D7F7_43FE_A648_D2091B73683B_.wvu.Cols" localSheetId="0" hidden="1">'ИТОГ'!$A:$A,'ИТОГ'!#REF!,'ИТОГ'!$H:$H,'ИТОГ'!$J:$L,'ИТОГ'!$P:$Q</definedName>
    <definedName name="Z_8BF4E6D7_D7F7_43FE_A648_D2091B73683B_.wvu.Cols" localSheetId="1" hidden="1">'Оценка'!$J:$J</definedName>
    <definedName name="Z_8BF4E6D7_D7F7_43FE_A648_D2091B73683B_.wvu.FilterData" localSheetId="0" hidden="1">'ИТОГ'!$B$6:$U$154</definedName>
    <definedName name="Z_8BF4E6D7_D7F7_43FE_A648_D2091B73683B_.wvu.FilterData" localSheetId="1" hidden="1">'Оценка'!$E$1:$E$255</definedName>
    <definedName name="Z_8C2CA0A3_525F_4091_8356_0A6209C52F2F_.wvu.FilterData" localSheetId="0" hidden="1">'ИТОГ'!$A$6:$U$154</definedName>
    <definedName name="Z_8C74238A_C5CC_4865_BAA6_6F32776D1F0A_.wvu.FilterData" localSheetId="0" hidden="1">'ИТОГ'!$A$6:$U$154</definedName>
    <definedName name="Z_8CB662FC_2442_43E7_8D08_CA85F2EC6125_.wvu.FilterData" localSheetId="0" hidden="1">'ИТОГ'!$A$6:$U$154</definedName>
    <definedName name="Z_8D5D8093_43B6_40F8_80A0_8F8CF5170227_.wvu.FilterData" localSheetId="0" hidden="1">'ИТОГ'!$B$6:$U$154</definedName>
    <definedName name="Z_8D7DE63E_1AC5_4519_9553_AB1C663AFC85_.wvu.FilterData" localSheetId="0" hidden="1">'ИТОГ'!$B$6:$U$154</definedName>
    <definedName name="Z_8E6E053D_756D_466A_B400_C8DAD1533791_.wvu.FilterData" localSheetId="0" hidden="1">'ИТОГ'!$A$6:$U$154</definedName>
    <definedName name="Z_8EAB7134_75C0_455E_BD57_D8FADE14D3EB_.wvu.FilterData" localSheetId="0" hidden="1">'ИТОГ'!$A$6:$U$154</definedName>
    <definedName name="Z_8ECF0AB9_71C0_44D2_BC76_A8E760432219_.wvu.FilterData" localSheetId="0" hidden="1">'ИТОГ'!$A$6:$U$154</definedName>
    <definedName name="Z_8F387C10_6578_4E06_BF35_E3D5D4693D90_.wvu.FilterData" localSheetId="0" hidden="1">'ИТОГ'!$A$6:$U$154</definedName>
    <definedName name="Z_9157CEB4_C37A_4BA4_AA13_FE0DEB86E740_.wvu.FilterData" localSheetId="0" hidden="1">'ИТОГ'!$A$6:$U$154</definedName>
    <definedName name="Z_91AF8E42_6727_408A_BFDA_0A72AB46AEAB_.wvu.FilterData" localSheetId="0" hidden="1">'ИТОГ'!$B$6:$U$154</definedName>
    <definedName name="Z_9315F578_3FE4_4EB3_9EC6_E5FCB60FC6D6_.wvu.FilterData" localSheetId="0" hidden="1">'ИТОГ'!$A$6:$U$154</definedName>
    <definedName name="Z_93F23BDA_3D57_4F42_96DA_28FF7E28C141_.wvu.FilterData" localSheetId="0" hidden="1">'ИТОГ'!$A$6:$U$154</definedName>
    <definedName name="Z_941A3C07_4E2F_404B_82E4_2ACBADC9B349_.wvu.FilterData" localSheetId="0" hidden="1">'ИТОГ'!$A$6:$U$154</definedName>
    <definedName name="Z_946D5F11_8031_4C71_84F6_E4C8CF12C0D4_.wvu.FilterData" localSheetId="0" hidden="1">'ИТОГ'!$A$6:$U$154</definedName>
    <definedName name="Z_948E0BDE_CBD7_4FDA_9710_2F935E6D3BEA_.wvu.FilterData" localSheetId="0" hidden="1">'ИТОГ'!$A$6:$U$154</definedName>
    <definedName name="Z_9579F2B7_066E_41CB_BF28_973A22C44523_.wvu.FilterData" localSheetId="1" hidden="1">'Оценка'!$E$1:$E$255</definedName>
    <definedName name="Z_95FB46F2_D3A0_4F4D_A195_698A715E77F8_.wvu.FilterData" localSheetId="0" hidden="1">'ИТОГ'!$A$6:$U$154</definedName>
    <definedName name="Z_9683EB7C_6ADA_46E6_83F3_2C2BF51040D5_.wvu.FilterData" localSheetId="0" hidden="1">'ИТОГ'!$A$6:$U$154</definedName>
    <definedName name="Z_98174B75_5B81_439E_8222_40C580433B28_.wvu.FilterData" localSheetId="0" hidden="1">'ИТОГ'!$B$6:$U$154</definedName>
    <definedName name="Z_98DECFDA_EC31_4D10_84C1_1B7271D9C075_.wvu.FilterData" localSheetId="0" hidden="1">'ИТОГ'!$A$6:$U$154</definedName>
    <definedName name="Z_999E34F0_5A55_4AC6_B4B5_BFCAFDE05564_.wvu.FilterData" localSheetId="0" hidden="1">'ИТОГ'!$A$6:$U$154</definedName>
    <definedName name="Z_9A0B58D3_D8B4_44D5_A528_012CA6B850C0_.wvu.FilterData" localSheetId="0" hidden="1">'ИТОГ'!$A$6:$U$154</definedName>
    <definedName name="Z_9A2B1FF5_4627_4579_86D3_1898512A21FA_.wvu.FilterData" localSheetId="0" hidden="1">'ИТОГ'!$A$6:$U$154</definedName>
    <definedName name="Z_9B175FE7_3399_4DB0_961D_0B9C098F7714_.wvu.FilterData" localSheetId="0" hidden="1">'ИТОГ'!$B$6:$U$154</definedName>
    <definedName name="Z_9C3D41C1_1C6B_41CA_85CE_5B42564E9E10_.wvu.Cols" localSheetId="0" hidden="1">'ИТОГ'!$A:$A,'ИТОГ'!#REF!,'ИТОГ'!$H:$H,'ИТОГ'!$J:$L,'ИТОГ'!$P:$Q</definedName>
    <definedName name="Z_9C3D41C1_1C6B_41CA_85CE_5B42564E9E10_.wvu.Cols" localSheetId="1" hidden="1">'Оценка'!$J:$J</definedName>
    <definedName name="Z_9C3D41C1_1C6B_41CA_85CE_5B42564E9E10_.wvu.FilterData" localSheetId="0" hidden="1">'ИТОГ'!$B$6:$U$154</definedName>
    <definedName name="Z_9C3D41C1_1C6B_41CA_85CE_5B42564E9E10_.wvu.FilterData" localSheetId="1" hidden="1">'Оценка'!$E$1:$E$255</definedName>
    <definedName name="Z_9C711ED9_A71A_43B4_A484_6F61DAADB32E_.wvu.FilterData" localSheetId="0" hidden="1">'ИТОГ'!$A$6:$U$154</definedName>
    <definedName name="Z_9CFD7F59_5641_4CCE_82DA_0BC6A9F9D7C0_.wvu.FilterData" localSheetId="0" hidden="1">'ИТОГ'!$A$6:$U$154</definedName>
    <definedName name="Z_9D52DD59_BE7C_4D52_8162_752C6C2EB0D2_.wvu.FilterData" localSheetId="0" hidden="1">'ИТОГ'!$A$6:$U$154</definedName>
    <definedName name="Z_9D59642F_EDCA_4578_A9AA_E9E96C9F519B_.wvu.FilterData" localSheetId="0" hidden="1">'ИТОГ'!$A$6:$U$154</definedName>
    <definedName name="Z_9D9CC892_B6F1_4A2B_97E5_F3810AEACA55_.wvu.FilterData" localSheetId="0" hidden="1">'ИТОГ'!$A$6:$U$154</definedName>
    <definedName name="Z_9E0E9D80_EA53_45FE_B2CE_4A4A79D55ECF_.wvu.FilterData" localSheetId="0" hidden="1">'ИТОГ'!$A$6:$U$154</definedName>
    <definedName name="Z_9E37B861_5829_4DF4_B76D_2E1ADB835C5A_.wvu.FilterData" localSheetId="0" hidden="1">'ИТОГ'!$A$6:$U$154</definedName>
    <definedName name="Z_9E5F57FA_77A3_4263_A81B_C2AE34EF6E42_.wvu.FilterData" localSheetId="0" hidden="1">'ИТОГ'!$A$6:$U$154</definedName>
    <definedName name="Z_A09EA52A_F548_4A60_AE73_2B1FA8F77C6A_.wvu.FilterData" localSheetId="0" hidden="1">'ИТОГ'!$A$6:$U$154</definedName>
    <definedName name="Z_A194766D_E25D_461F_8A08_0C84BB24775D_.wvu.FilterData" localSheetId="0" hidden="1">'ИТОГ'!$B$6:$U$154</definedName>
    <definedName name="Z_A3724FDE_C05A_4428_AB7B_9A2CDF7A5059_.wvu.FilterData" localSheetId="0" hidden="1">'ИТОГ'!$B$6:$U$154</definedName>
    <definedName name="Z_A41322D8_8EFE_4DEB_8519_6BC34EE98138_.wvu.FilterData" localSheetId="0" hidden="1">'ИТОГ'!$A$6:$U$154</definedName>
    <definedName name="Z_A42A7D2D_B486_4743_A056_4DBEC057C8C3_.wvu.FilterData" localSheetId="0" hidden="1">'ИТОГ'!$A$6:$U$154</definedName>
    <definedName name="Z_A471C6B6_0BFF_442B_BEEB_3FADECE47331_.wvu.FilterData" localSheetId="0" hidden="1">'ИТОГ'!$A$6:$U$154</definedName>
    <definedName name="Z_A4FEC723_F63C_48AE_90CA_82E83905336B_.wvu.FilterData" localSheetId="0" hidden="1">'ИТОГ'!$B$6:$U$154</definedName>
    <definedName name="Z_A5289262_9FB4_49D2_A482_B2255861B58C_.wvu.FilterData" localSheetId="0" hidden="1">'ИТОГ'!$A$6:$U$154</definedName>
    <definedName name="Z_A558D31C_25EF_4DCF_B971_FCF22E4FED37_.wvu.FilterData" localSheetId="0" hidden="1">'ИТОГ'!$A$6:$U$154</definedName>
    <definedName name="Z_A60BD193_317D_438B_A399_47A068394849_.wvu.FilterData" localSheetId="0" hidden="1">'ИТОГ'!$B$6:$U$154</definedName>
    <definedName name="Z_A62EAF98_DD5D_4DA3_B176_D6439C03585B_.wvu.FilterData" localSheetId="0" hidden="1">'ИТОГ'!$A$6:$U$154</definedName>
    <definedName name="Z_A6A10CDE_FC91_4E0E_83A6_62E2D9CC6261_.wvu.FilterData" localSheetId="0" hidden="1">'ИТОГ'!$A$6:$U$154</definedName>
    <definedName name="Z_A71BF829_C751_484F_9B06_BEE6BC1A532F_.wvu.FilterData" localSheetId="0" hidden="1">'ИТОГ'!$B$6:$U$154</definedName>
    <definedName name="Z_A759E765_B33E_4B48_A6E9_252E591C936B_.wvu.FilterData" localSheetId="0" hidden="1">'ИТОГ'!$A$6:$U$154</definedName>
    <definedName name="Z_A86CF911_5A51_4C77_A856_56795EC2363D_.wvu.FilterData" localSheetId="0" hidden="1">'ИТОГ'!$B$6:$U$154</definedName>
    <definedName name="Z_A89E2781_7840_4234_A57E_609D4CFD0D27_.wvu.FilterData" localSheetId="0" hidden="1">'ИТОГ'!$A$6:$U$154</definedName>
    <definedName name="Z_A913620D_F77A_47D4_9C3B_D4A46CBFADA7_.wvu.FilterData" localSheetId="0" hidden="1">'ИТОГ'!$A$6:$U$154</definedName>
    <definedName name="Z_A9F71775_0538_4022_9DE2_D82FAA71B2DF_.wvu.FilterData" localSheetId="1" hidden="1">'Оценка'!$E$1:$E$255</definedName>
    <definedName name="Z_AA9B2E21_4C22_471F_A678_820F60A2C57B_.wvu.FilterData" localSheetId="0" hidden="1">'ИТОГ'!$A$6:$U$154</definedName>
    <definedName name="Z_ABBE6239_8AAF_4217_B680_C47974378066_.wvu.FilterData" localSheetId="0" hidden="1">'ИТОГ'!$B$6:$U$154</definedName>
    <definedName name="Z_ABDEA086_7261_43CE_9D06_ACE463740D57_.wvu.FilterData" localSheetId="0" hidden="1">'ИТОГ'!$A$6:$U$154</definedName>
    <definedName name="Z_AC19FEDC_FBAF_4FD0_9854_A73F3FF7ADB0_.wvu.FilterData" localSheetId="0" hidden="1">'ИТОГ'!$B$6:$U$154</definedName>
    <definedName name="Z_AC4071C1_16B7_43AB_9D63_CD4D4FFA7855_.wvu.FilterData" localSheetId="0" hidden="1">'ИТОГ'!$A$6:$U$154</definedName>
    <definedName name="Z_AD49C606_FED3_4A79_8FF9_6B70BEA7DC2C_.wvu.FilterData" localSheetId="0" hidden="1">'ИТОГ'!$B$6:$U$154</definedName>
    <definedName name="Z_AE0B701C_C6F4_4E56_8B13_211F459D517A_.wvu.FilterData" localSheetId="0" hidden="1">'ИТОГ'!$A$6:$U$154</definedName>
    <definedName name="Z_AE9901E3_CDEE_4957_B644_3E47294EFC75_.wvu.FilterData" localSheetId="0" hidden="1">'ИТОГ'!$B$6:$U$154</definedName>
    <definedName name="Z_AF12AD22_5058_482D_9BF0_DD4E9D7C17E7_.wvu.FilterData" localSheetId="0" hidden="1">'ИТОГ'!$B$6:$U$154</definedName>
    <definedName name="Z_AF139468_EEF1_4553_AF70_4D15A5FC7F84_.wvu.FilterData" localSheetId="0" hidden="1">'ИТОГ'!$A$6:$U$154</definedName>
    <definedName name="Z_B0B714D2_ECDD_473E_8AD0_D45B1014FD38_.wvu.FilterData" localSheetId="0" hidden="1">'ИТОГ'!$A$6:$U$154</definedName>
    <definedName name="Z_B2A56648_9F5A_4FC5_A2F2_7AC21371DE3E_.wvu.FilterData" localSheetId="0" hidden="1">'ИТОГ'!$A$6:$U$154</definedName>
    <definedName name="Z_B3537220_D4F2_4750_8FA6_19E468C361B3_.wvu.FilterData" localSheetId="0" hidden="1">'ИТОГ'!$A$6:$U$154</definedName>
    <definedName name="Z_B3A2AE9A_ED3D_424C_B6D1_A1CD9BF102BD_.wvu.FilterData" localSheetId="0" hidden="1">'ИТОГ'!$A$6:$U$154</definedName>
    <definedName name="Z_B518F444_BC8F_49F8_8EE7_B9F99F22788C_.wvu.FilterData" localSheetId="0" hidden="1">'ИТОГ'!$A$6:$U$154</definedName>
    <definedName name="Z_B5F27BB6_7256_49BB_953D_1151CB091A3E_.wvu.FilterData" localSheetId="0" hidden="1">'ИТОГ'!$A$6:$U$154</definedName>
    <definedName name="Z_B63C85F8_2DDA_4DEB_ACAA_5FAA8FB1F069_.wvu.FilterData" localSheetId="0" hidden="1">'ИТОГ'!$A$6:$U$154</definedName>
    <definedName name="Z_B65E88BA_2C95_4282_83CE_18FF5BCB41B4_.wvu.FilterData" localSheetId="0" hidden="1">'ИТОГ'!$B$6:$U$154</definedName>
    <definedName name="Z_B76253F5_0077_4A5D_805B_6C5B33CB1FA5_.wvu.FilterData" localSheetId="0" hidden="1">'ИТОГ'!$B$6:$U$154</definedName>
    <definedName name="Z_B7D3B270_7AC7_40AB_B3B2_0B62E6AF758D_.wvu.FilterData" localSheetId="0" hidden="1">'ИТОГ'!$A$6:$U$154</definedName>
    <definedName name="Z_B906AF89_4708_4D39_9617_E680C89C2BF9_.wvu.FilterData" localSheetId="0" hidden="1">'ИТОГ'!$B$6:$U$154</definedName>
    <definedName name="Z_BA1BF0A6_5CAC_40C3_B12F_B59042F56809_.wvu.FilterData" localSheetId="0" hidden="1">'ИТОГ'!$A$6:$U$154</definedName>
    <definedName name="Z_BA500B92_38BF_40C2_82A9_6339B29474B3_.wvu.FilterData" localSheetId="0" hidden="1">'ИТОГ'!$A$6:$U$154</definedName>
    <definedName name="Z_BA794D11_8054_4941_B0D7_6D4D13D3B7B7_.wvu.FilterData" localSheetId="0" hidden="1">'ИТОГ'!$A$6:$U$154</definedName>
    <definedName name="Z_BAD72D2F_B48B_4037_B333_5B0C1AC667AA_.wvu.FilterData" localSheetId="0" hidden="1">'ИТОГ'!$A$6:$U$154</definedName>
    <definedName name="Z_BC1667D5_3B4A_45D1_B6BD_50771DDF76A2_.wvu.FilterData" localSheetId="0" hidden="1">'ИТОГ'!$A$6:$U$154</definedName>
    <definedName name="Z_BC854E52_8419_4F0F_AD8F_DC7FA46CB139_.wvu.FilterData" localSheetId="0" hidden="1">'ИТОГ'!$A$6:$U$154</definedName>
    <definedName name="Z_BD63EC91_B388_4FBC_91F5_75FBF8CB479D_.wvu.FilterData" localSheetId="0" hidden="1">'ИТОГ'!$B$6:$U$154</definedName>
    <definedName name="Z_BD8601EF_065F_43E2_B5FE_069FEC7F6FAA_.wvu.FilterData" localSheetId="0" hidden="1">'ИТОГ'!$A$6:$U$154</definedName>
    <definedName name="Z_C072DD87_BA1C_41F5_96C4_1827912CD933_.wvu.FilterData" localSheetId="0" hidden="1">'ИТОГ'!$A$6:$U$154</definedName>
    <definedName name="Z_C075DF2B_48BA_47D0_B8A2_10B16982028E_.wvu.FilterData" localSheetId="0" hidden="1">'ИТОГ'!$A$6:$U$154</definedName>
    <definedName name="Z_C0C6333C_7120_4176_BE4D_66D05B185425_.wvu.FilterData" localSheetId="0" hidden="1">'ИТОГ'!$A$6:$U$154</definedName>
    <definedName name="Z_C17F6FC0_A966_431A_A6B8_66A9B44D4241_.wvu.FilterData" localSheetId="0" hidden="1">'ИТОГ'!$A$6:$U$154</definedName>
    <definedName name="Z_C1D10CB7_2818_4B73_80C0_DF2B80542DB6_.wvu.Cols" localSheetId="0" hidden="1">'ИТОГ'!$A:$A,'ИТОГ'!$H:$L,'ИТОГ'!$P:$Q,'ИТОГ'!$S:$U</definedName>
    <definedName name="Z_C1D10CB7_2818_4B73_80C0_DF2B80542DB6_.wvu.Cols" localSheetId="1" hidden="1">'Оценка'!$J:$J</definedName>
    <definedName name="Z_C1D10CB7_2818_4B73_80C0_DF2B80542DB6_.wvu.FilterData" localSheetId="0" hidden="1">'ИТОГ'!$B$6:$U$154</definedName>
    <definedName name="Z_C1D10CB7_2818_4B73_80C0_DF2B80542DB6_.wvu.FilterData" localSheetId="1" hidden="1">'Оценка'!$E$1:$E$255</definedName>
    <definedName name="Z_C1D10CB7_2818_4B73_80C0_DF2B80542DB6_.wvu.PrintArea" localSheetId="0" hidden="1">'ИТОГ'!$B$1:$U$157</definedName>
    <definedName name="Z_C1D10CB7_2818_4B73_80C0_DF2B80542DB6_.wvu.PrintTitles" localSheetId="0" hidden="1">'ИТОГ'!$B:$C,'ИТОГ'!$6:$8</definedName>
    <definedName name="Z_C2D7A401_3A5A_4BCE_949D_8200EA1C59FC_.wvu.FilterData" localSheetId="0" hidden="1">'ИТОГ'!$B$6:$U$154</definedName>
    <definedName name="Z_C3599D30_2FB5_451C_A6AF_5C2A91CF7188_.wvu.FilterData" localSheetId="0" hidden="1">'ИТОГ'!$B$6:$U$154</definedName>
    <definedName name="Z_C372B521_8A1C_4CF3_9293_FED97D895B30_.wvu.FilterData" localSheetId="0" hidden="1">'ИТОГ'!$B$6:$U$154</definedName>
    <definedName name="Z_C4B463E7_6D15_44A4_8B72_6455B65B6F6C_.wvu.FilterData" localSheetId="0" hidden="1">'ИТОГ'!$A$6:$U$154</definedName>
    <definedName name="Z_C5538F32_9E58_4135_B3CD_54DD4B0FD5EC_.wvu.FilterData" localSheetId="0" hidden="1">'ИТОГ'!$B$6:$U$154</definedName>
    <definedName name="Z_C5FD02DE_1985_4595_8785_FAE5709CCB2E_.wvu.FilterData" localSheetId="0" hidden="1">'ИТОГ'!$B$6:$U$154</definedName>
    <definedName name="Z_C6A01D73_106E_42F8_9482_6580588810D3_.wvu.FilterData" localSheetId="0" hidden="1">'ИТОГ'!$A$6:$U$154</definedName>
    <definedName name="Z_C6D6255E_7E1B_4ECE_8ADC_406491E50CCB_.wvu.FilterData" localSheetId="0" hidden="1">'ИТОГ'!$A$6:$U$154</definedName>
    <definedName name="Z_C6EC408D_44CF_4951_AA5C_C093006CBED8_.wvu.FilterData" localSheetId="0" hidden="1">'ИТОГ'!$A$6:$U$154</definedName>
    <definedName name="Z_C811770C_2425_44B8_BA60_BD378906E4C8_.wvu.FilterData" localSheetId="0" hidden="1">'ИТОГ'!$A$6:$U$154</definedName>
    <definedName name="Z_C83AFCC1_FBC2_42ED_BFEA_297998B601B2_.wvu.FilterData" localSheetId="0" hidden="1">'ИТОГ'!$A$6:$U$154</definedName>
    <definedName name="Z_C88955A7_38BA_4584_B5F4_449C324D260D_.wvu.FilterData" localSheetId="0" hidden="1">'ИТОГ'!$A$6:$U$154</definedName>
    <definedName name="Z_C8EC12C2_36EE_47A7_8EDC_DF4BC25AC946_.wvu.FilterData" localSheetId="0" hidden="1">'ИТОГ'!$B$6:$U$154</definedName>
    <definedName name="Z_C8FFCDBF_5F72_4A1E_8AC7_0CF9C2C9E0FA_.wvu.FilterData" localSheetId="0" hidden="1">'ИТОГ'!$A$6:$U$154</definedName>
    <definedName name="Z_C9771E7E_63A7_4308_89DD_B1813BAE3FD7_.wvu.FilterData" localSheetId="0" hidden="1">'ИТОГ'!$A$6:$U$154</definedName>
    <definedName name="Z_C97F1F8F_D55E_47C7_BACA_8A8164D09BBE_.wvu.FilterData" localSheetId="0" hidden="1">'ИТОГ'!$A$6:$U$154</definedName>
    <definedName name="Z_C9D6946A_29F9_4360_9F38_40900E54162E_.wvu.FilterData" localSheetId="0" hidden="1">'ИТОГ'!$B$6:$U$154</definedName>
    <definedName name="Z_CA2A8FEF_2FAE_4A06_BE95_76DAE355AAF6_.wvu.FilterData" localSheetId="0" hidden="1">'ИТОГ'!$B$6:$U$154</definedName>
    <definedName name="Z_CA6B916F_C86B_47F6_BB0E_5A9ECF28FF8E_.wvu.FilterData" localSheetId="0" hidden="1">'ИТОГ'!$B$1:$U$154</definedName>
    <definedName name="Z_CA6B916F_C86B_47F6_BB0E_5A9ECF28FF8E_.wvu.FilterData" localSheetId="1" hidden="1">'Оценка'!$E$1:$E$255</definedName>
    <definedName name="Z_CBBFB2C6_02F2_4241_B950_D4F1B703DEAA_.wvu.FilterData" localSheetId="0" hidden="1">'ИТОГ'!$B$6:$U$154</definedName>
    <definedName name="Z_CC0D1217_AA59_4987_A44E_989FD5E9D733_.wvu.FilterData" localSheetId="0" hidden="1">'ИТОГ'!$A$6:$U$154</definedName>
    <definedName name="Z_CC61C4BB_C2B9_4F75_96F5_9D0C5A80DF0D_.wvu.FilterData" localSheetId="0" hidden="1">'ИТОГ'!$B$6:$U$154</definedName>
    <definedName name="Z_CE028514_001A_4E91_A2A3_3D4B274CAE25_.wvu.FilterData" localSheetId="0" hidden="1">'ИТОГ'!$A$6:$U$154</definedName>
    <definedName name="Z_CF04DB29_9944_4F87_B123_8BA8A4D6C003_.wvu.FilterData" localSheetId="0" hidden="1">'ИТОГ'!$B$6:$U$154</definedName>
    <definedName name="Z_CF84CB50_B09B_4BDA_BA99_D89508822E70_.wvu.FilterData" localSheetId="0" hidden="1">'ИТОГ'!$B$6:$U$154</definedName>
    <definedName name="Z_CF86C662_A475_4F78_84E0_979D535A1EB3_.wvu.FilterData" localSheetId="0" hidden="1">'ИТОГ'!$A$6:$U$154</definedName>
    <definedName name="Z_D02A5169_C2A6_467B_ABDD_005D5489DF51_.wvu.FilterData" localSheetId="0" hidden="1">'ИТОГ'!$A$6:$U$154</definedName>
    <definedName name="Z_D04EB40F_AD90_4116_9483_2A16F2C8B94B_.wvu.FilterData" localSheetId="0" hidden="1">'ИТОГ'!$B$6:$U$154</definedName>
    <definedName name="Z_D0AABF7B_8609_4D0B_A438_2B4E7A3CD82B_.wvu.FilterData" localSheetId="0" hidden="1">'ИТОГ'!$A$6:$U$154</definedName>
    <definedName name="Z_D0D56EDC_ABC9_4849_8864_54557FE42521_.wvu.FilterData" localSheetId="0" hidden="1">'ИТОГ'!$A$6:$U$154</definedName>
    <definedName name="Z_D19B6916_EECC_4E3A_B5A2_D0C356E94049_.wvu.FilterData" localSheetId="0" hidden="1">'ИТОГ'!$A$6:$U$154</definedName>
    <definedName name="Z_D1CF0862_341A_4E89_A1A3_F60B82BD90E9_.wvu.FilterData" localSheetId="0" hidden="1">'ИТОГ'!$A$6:$U$154</definedName>
    <definedName name="Z_D294284E_8AD9_4914_A1BD_740EAD7AA279_.wvu.FilterData" localSheetId="0" hidden="1">'ИТОГ'!$B$6:$U$154</definedName>
    <definedName name="Z_D29C9C41_9CE8_42B5_B272_014455479A31_.wvu.FilterData" localSheetId="0" hidden="1">'ИТОГ'!$A$6:$U$154</definedName>
    <definedName name="Z_D2D0CE7B_22BA_48B8_A312_20ECCFFF6A07_.wvu.FilterData" localSheetId="1" hidden="1">'Оценка'!$E$1:$E$255</definedName>
    <definedName name="Z_D39F9602_CD11_4CDE_B22D_CBD64F195C58_.wvu.FilterData" localSheetId="0" hidden="1">'ИТОГ'!$A$6:$U$154</definedName>
    <definedName name="Z_D3D469F1_7CF5_49DB_831B_D5029C3172E7_.wvu.FilterData" localSheetId="0" hidden="1">'ИТОГ'!$A$6:$U$154</definedName>
    <definedName name="Z_D5E6A633_5EBD_4E85_BB8C_53988FB40FAC_.wvu.FilterData" localSheetId="0" hidden="1">'ИТОГ'!$A$6:$U$154</definedName>
    <definedName name="Z_D6003060_38C9_4A69_95BE_15F63BCEDC54_.wvu.FilterData" localSheetId="0" hidden="1">'ИТОГ'!$B$6:$U$154</definedName>
    <definedName name="Z_D82AC7FF_9456_44BB_933C_7CD35F77F83E_.wvu.FilterData" localSheetId="0" hidden="1">'ИТОГ'!$A$6:$U$154</definedName>
    <definedName name="Z_D8440DF0_96EF_427E_B7A9_8565A70C1CD2_.wvu.FilterData" localSheetId="0" hidden="1">'ИТОГ'!$B$6:$U$154</definedName>
    <definedName name="Z_D8658A26_D73A_4DBE_997C_D87930201EFE_.wvu.FilterData" localSheetId="0" hidden="1">'ИТОГ'!$A$6:$U$154</definedName>
    <definedName name="Z_D9342E5F_F647_40D0_ACCF_65CF5EC8F886_.wvu.FilterData" localSheetId="0" hidden="1">'ИТОГ'!$B$6:$U$154</definedName>
    <definedName name="Z_D994751F_C9DF_4CA3_B406_21ED39FD0AD1_.wvu.FilterData" localSheetId="0" hidden="1">'ИТОГ'!$A$6:$U$154</definedName>
    <definedName name="Z_DA5C932D_CDFC_4600_8404_B3F06A260998_.wvu.FilterData" localSheetId="0" hidden="1">'ИТОГ'!$B$6:$U$154</definedName>
    <definedName name="Z_DAEA76DB_9661_4508_82E4_DB725D5933A6_.wvu.FilterData" localSheetId="0" hidden="1">'ИТОГ'!$A$6:$U$154</definedName>
    <definedName name="Z_DBBB97B2_858D_42F0_9A6A_D02FE119116A_.wvu.FilterData" localSheetId="0" hidden="1">'ИТОГ'!$A$6:$U$154</definedName>
    <definedName name="Z_DC536C70_2D5D_49EE_AE86_8058355607EB_.wvu.FilterData" localSheetId="0" hidden="1">'ИТОГ'!$A$6:$U$154</definedName>
    <definedName name="Z_DCB5E104_BE48_4E6D_AD59_60AB74830EC5_.wvu.FilterData" localSheetId="0" hidden="1">'ИТОГ'!$A$6:$U$154</definedName>
    <definedName name="Z_DD370C4C_C23E_4318_BE9A_439C01E6B5CF_.wvu.FilterData" localSheetId="0" hidden="1">'ИТОГ'!$B$6:$U$154</definedName>
    <definedName name="Z_DD37D2DC_3856_4D46_A46D_F94575404261_.wvu.FilterData" localSheetId="0" hidden="1">'ИТОГ'!$A$6:$U$154</definedName>
    <definedName name="Z_DD6325DA_60D1_4AF1_9E12_FD5366F5B6DD_.wvu.FilterData" localSheetId="0" hidden="1">'ИТОГ'!$A$6:$U$154</definedName>
    <definedName name="Z_DDA8391E_8135_4BBF_9EC7_45A1A8E57472_.wvu.FilterData" localSheetId="0" hidden="1">'ИТОГ'!$A$6:$U$154</definedName>
    <definedName name="Z_DDC1331A_6F77_4152_82C0_EE512174B43C_.wvu.FilterData" localSheetId="0" hidden="1">'ИТОГ'!$A$6:$U$154</definedName>
    <definedName name="Z_DE9960B2_CAEB_42B1_A964_DB45BDAB69F5_.wvu.FilterData" localSheetId="0" hidden="1">'ИТОГ'!$A$6:$U$154</definedName>
    <definedName name="Z_DF250619_87C0_413D_B6D7_795B7E357541_.wvu.FilterData" localSheetId="0" hidden="1">'ИТОГ'!$A$6:$U$154</definedName>
    <definedName name="Z_E30F95C0_55A1_43E0_8F64_B97EC19EA04B_.wvu.FilterData" localSheetId="1" hidden="1">'Оценка'!$E$1:$E$255</definedName>
    <definedName name="Z_E3BAE4AD_AD42_4677_9E06_0B13F89FF64E_.wvu.FilterData" localSheetId="0" hidden="1">'ИТОГ'!$A$6:$U$154</definedName>
    <definedName name="Z_E3C43482_2BEB_443D_BF66_B7ADAAEF83B4_.wvu.FilterData" localSheetId="1" hidden="1">'Оценка'!$E$1:$E$255</definedName>
    <definedName name="Z_E45771E6_DE03_4E4A_9CC6_0A4E6CE5DAF3_.wvu.FilterData" localSheetId="0" hidden="1">'ИТОГ'!$A$6:$U$154</definedName>
    <definedName name="Z_E45A5C66_1887_4308_9EA4_B5F09B381077_.wvu.FilterData" localSheetId="0" hidden="1">'ИТОГ'!$A$6:$U$154</definedName>
    <definedName name="Z_E5735856_6243_4267_A59C_7C0526334A51_.wvu.FilterData" localSheetId="0" hidden="1">'ИТОГ'!$A$6:$U$154</definedName>
    <definedName name="Z_E58926E7_B7E6_43C1_99F8_3F665058D08F_.wvu.FilterData" localSheetId="0" hidden="1">'ИТОГ'!$B$6:$U$154</definedName>
    <definedName name="Z_E6F2ED8E_D192_4BDB_B316_AF7DD7C5A25F_.wvu.FilterData" localSheetId="0" hidden="1">'ИТОГ'!$A$6:$U$154</definedName>
    <definedName name="Z_E712E671_ADDB_4966_9C0C_DA2FAF78ED71_.wvu.FilterData" localSheetId="0" hidden="1">'ИТОГ'!$A$6:$U$154</definedName>
    <definedName name="Z_E734A4B1_AFC0_446E_A6EB_FF5C93914CF0_.wvu.FilterData" localSheetId="1" hidden="1">'Оценка'!$E$1:$E$255</definedName>
    <definedName name="Z_E80EF534_CCA5_4E0B_A8B6_3945B9FBE1BD_.wvu.FilterData" localSheetId="0" hidden="1">'ИТОГ'!$A$6:$U$154</definedName>
    <definedName name="Z_E9254230_5B67_4E0C_9ECC_5B0E8AD08124_.wvu.FilterData" localSheetId="0" hidden="1">'ИТОГ'!$B$6:$U$154</definedName>
    <definedName name="Z_E9A9EAC2_F444_4C48_AC38_77285D6AFA09_.wvu.FilterData" localSheetId="0" hidden="1">'ИТОГ'!$A$6:$U$154</definedName>
    <definedName name="Z_E9D1D122_12B6_4C91_92D5_CA44427DDFFD_.wvu.FilterData" localSheetId="0" hidden="1">'ИТОГ'!$A$6:$U$154</definedName>
    <definedName name="Z_EA9C0B58_7743_43C1_893B_FEEC3E3EB0E6_.wvu.FilterData" localSheetId="0" hidden="1">'ИТОГ'!$A$6:$U$154</definedName>
    <definedName name="Z_EB423D44_6AC6_4485_9ECA_8084B53B7112_.wvu.FilterData" localSheetId="0" hidden="1">'ИТОГ'!$B$6:$U$154</definedName>
    <definedName name="Z_EB74E8B2_327C_4A5F_B402_8094B37D37C6_.wvu.FilterData" localSheetId="0" hidden="1">'ИТОГ'!$A$6:$U$154</definedName>
    <definedName name="Z_EBA74EF5_59A7_4124_B160_305D89B71684_.wvu.FilterData" localSheetId="1" hidden="1">'Оценка'!$E$1:$E$255</definedName>
    <definedName name="Z_EBCDD8A2_7E19_4D50_9DC5_338EE718E019_.wvu.FilterData" localSheetId="0" hidden="1">'ИТОГ'!$A$6:$U$154</definedName>
    <definedName name="Z_EBF8EA4C_51B5_4B17_BECF_61AF67BDC959_.wvu.FilterData" localSheetId="0" hidden="1">'ИТОГ'!$B$6:$U$154</definedName>
    <definedName name="Z_EC81F7DA_91A8_45D9_96A7_F438AD33596A_.wvu.FilterData" localSheetId="0" hidden="1">'ИТОГ'!$A$6:$U$154</definedName>
    <definedName name="Z_EE40EF84_9B00_4F21_B03C_F1AAB786BD68_.wvu.FilterData" localSheetId="0" hidden="1">'ИТОГ'!$A$6:$U$154</definedName>
    <definedName name="Z_EE9CDBB0_E6E1_408B_8E32_A543ADCC7AD5_.wvu.FilterData" localSheetId="0" hidden="1">'ИТОГ'!$B$6:$U$154</definedName>
    <definedName name="Z_EEA79AB4_6B0C_430B_8FBF_C8FBF466FAAA_.wvu.FilterData" localSheetId="0" hidden="1">'ИТОГ'!$B$6:$U$154</definedName>
    <definedName name="Z_EF123B8F_DB8B_4FC4_8847_8288BC40C93C_.wvu.FilterData" localSheetId="0" hidden="1">'ИТОГ'!$A$6:$U$154</definedName>
    <definedName name="Z_EF180AD9_CE77_401A_926E_29930922DBA6_.wvu.FilterData" localSheetId="0" hidden="1">'ИТОГ'!$A$6:$U$154</definedName>
    <definedName name="Z_EF35B991_C939_49B1_B185_909E4C4CF338_.wvu.FilterData" localSheetId="1" hidden="1">'Оценка'!$E$1:$E$255</definedName>
    <definedName name="Z_F09E1596_B33E_4ABD_9F80_796B0F11A755_.wvu.FilterData" localSheetId="0" hidden="1">'ИТОГ'!$B$6:$U$154</definedName>
    <definedName name="Z_F21F663D_B1BC_4961_BD66_CC8F39CE208E_.wvu.FilterData" localSheetId="0" hidden="1">'ИТОГ'!$A$6:$U$154</definedName>
    <definedName name="Z_F2B411DF_6A45_474F_9902_9B6F548DD5D5_.wvu.FilterData" localSheetId="0" hidden="1">'ИТОГ'!$B$6:$U$154</definedName>
    <definedName name="Z_F2BB5311_EBBE_4786_A42D_5DAAADA00EA6_.wvu.FilterData" localSheetId="0" hidden="1">'ИТОГ'!$A$6:$U$154</definedName>
    <definedName name="Z_F32E0416_14A2_4EC7_81B4_543351B8DEA8_.wvu.FilterData" localSheetId="0" hidden="1">'ИТОГ'!$A$6:$U$154</definedName>
    <definedName name="Z_F3FCE17F_9A1F_4BD0_99BB_6FE3072616F6_.wvu.FilterData" localSheetId="0" hidden="1">'ИТОГ'!$A$6:$U$154</definedName>
    <definedName name="Z_F48D80F1_C05D_404D_950A_C1498D78B0F4_.wvu.FilterData" localSheetId="0" hidden="1">'ИТОГ'!$A$6:$U$154</definedName>
    <definedName name="Z_F498440B_DC7A_4B95_B1D5_CBFC479A1B23_.wvu.FilterData" localSheetId="0" hidden="1">'ИТОГ'!$A$6:$U$154</definedName>
    <definedName name="Z_F50EBB0B_BB46_4CE5_8EE0_A96241290FB6_.wvu.FilterData" localSheetId="0" hidden="1">'ИТОГ'!$B$6:$U$154</definedName>
    <definedName name="Z_F6A0A2C6_B7B5_4852_8E65_A85BAEFD4735_.wvu.FilterData" localSheetId="0" hidden="1">'ИТОГ'!$A$6:$U$154</definedName>
    <definedName name="Z_F7B822A5_9FB5_42F4_A0D9_C841EC425D8A_.wvu.FilterData" localSheetId="0" hidden="1">'ИТОГ'!$A$6:$U$154</definedName>
    <definedName name="Z_F7D273B0_0F63_4C9B_A2DD_CAC3167BDF65_.wvu.FilterData" localSheetId="0" hidden="1">'ИТОГ'!$B$6:$U$154</definedName>
    <definedName name="Z_F8452D7D_7FE6_4C56_8408_1EB0506725A6_.wvu.FilterData" localSheetId="0" hidden="1">'ИТОГ'!$B$6:$U$154</definedName>
    <definedName name="Z_F8750537_79BB_4DC9_ADCC_C1E27B3A8681_.wvu.FilterData" localSheetId="0" hidden="1">'ИТОГ'!$B$6:$U$154</definedName>
    <definedName name="Z_F89C0F16_CE36_4AAE_A356_91279E862E17_.wvu.FilterData" localSheetId="0" hidden="1">'ИТОГ'!$B$6:$U$154</definedName>
    <definedName name="Z_F9906C42_46F5_4E62_83AF_680F2526B30B_.wvu.FilterData" localSheetId="0" hidden="1">'ИТОГ'!$A$6:$U$154</definedName>
    <definedName name="Z_F9B4D155_D593_4495_B42C_934F6980DA6E_.wvu.FilterData" localSheetId="0" hidden="1">'ИТОГ'!$B$6:$U$154</definedName>
    <definedName name="Z_F9B4D155_D593_4495_B42C_934F6980DA6E_.wvu.FilterData" localSheetId="1" hidden="1">'Оценка'!$E$1:$E$255</definedName>
    <definedName name="Z_F9BE9877_8717_481A_AD4D_E385AD969574_.wvu.FilterData" localSheetId="0" hidden="1">'ИТОГ'!$A$6:$U$154</definedName>
    <definedName name="Z_FB42E527_D0F9_4A7F_968C_4B0B26562A73_.wvu.FilterData" localSheetId="0" hidden="1">'ИТОГ'!$A$6:$U$154</definedName>
    <definedName name="Z_FB7168E6_1178_45DA_8963_39BC5FF2BA40_.wvu.FilterData" localSheetId="1" hidden="1">'Оценка'!$E$1:$E$255</definedName>
    <definedName name="Z_FBDEC1EF_A9EB_447D_A707_49A613AF2834_.wvu.FilterData" localSheetId="0" hidden="1">'ИТОГ'!$A$6:$U$154</definedName>
    <definedName name="Z_FC2DDC99_0A22_40C8_BDF0_84B9D86415B6_.wvu.FilterData" localSheetId="0" hidden="1">'ИТОГ'!$A$6:$U$154</definedName>
    <definedName name="Z_FC923E27_9F6E_4095_B6C9_2F6628F129D2_.wvu.FilterData" localSheetId="0" hidden="1">'ИТОГ'!$B$6:$U$154</definedName>
    <definedName name="Z_FE036652_1792_40E4_8BDA_03F888E36740_.wvu.FilterData" localSheetId="0" hidden="1">'ИТОГ'!$B$6:$U$154</definedName>
    <definedName name="Z_FE19C6C9_2B24_4090_A4FF_B49D2398A265_.wvu.FilterData" localSheetId="0" hidden="1">'ИТОГ'!$A$6:$U$154</definedName>
    <definedName name="Z_FFD5B317_B31C_4EA2_A91F_7BD64C6DFC4C_.wvu.FilterData" localSheetId="0" hidden="1">'ИТОГ'!$A$6:$U$154</definedName>
    <definedName name="_xlnm.Print_Titles" localSheetId="0">'ИТОГ'!$B:$C,'ИТОГ'!$6:$8</definedName>
    <definedName name="_xlnm.Print_Area" localSheetId="0">'ИТОГ'!$B$1:$U$157</definedName>
  </definedNames>
  <calcPr fullCalcOnLoad="1"/>
</workbook>
</file>

<file path=xl/comments2.xml><?xml version="1.0" encoding="utf-8"?>
<comments xmlns="http://schemas.openxmlformats.org/spreadsheetml/2006/main">
  <authors>
    <author>Ерыс Вера Богдановна</author>
  </authors>
  <commentList>
    <comment ref="F104" authorId="0">
      <text>
        <r>
          <rPr>
            <b/>
            <sz val="9"/>
            <rFont val="Tahoma"/>
            <family val="0"/>
          </rPr>
          <t>Ерыс Вера Богдановна:</t>
        </r>
        <r>
          <rPr>
            <sz val="9"/>
            <rFont val="Tahoma"/>
            <family val="0"/>
          </rPr>
          <t xml:space="preserve">
20905,6
Убрали с АИП</t>
        </r>
      </text>
    </comment>
  </commentList>
</comments>
</file>

<file path=xl/comments4.xml><?xml version="1.0" encoding="utf-8"?>
<comments xmlns="http://schemas.openxmlformats.org/spreadsheetml/2006/main">
  <authors>
    <author>Ерыс Вера Богдановна</author>
  </authors>
  <commentList>
    <comment ref="AD146" authorId="0">
      <text>
        <r>
          <rPr>
            <b/>
            <sz val="9"/>
            <rFont val="Tahoma"/>
            <family val="0"/>
          </rPr>
          <t xml:space="preserve">Включена только текущая деятельность 
16704
27000- деньги на гос долг
</t>
        </r>
      </text>
    </comment>
  </commentList>
</comments>
</file>

<file path=xl/sharedStrings.xml><?xml version="1.0" encoding="utf-8"?>
<sst xmlns="http://schemas.openxmlformats.org/spreadsheetml/2006/main" count="1002" uniqueCount="321">
  <si>
    <t>Нормативный акт</t>
  </si>
  <si>
    <t>%</t>
  </si>
  <si>
    <t xml:space="preserve">% </t>
  </si>
  <si>
    <t xml:space="preserve">бюджет автономного округа </t>
  </si>
  <si>
    <t>Инфраструктурный сектор</t>
  </si>
  <si>
    <t>Всего по программам:</t>
  </si>
  <si>
    <t xml:space="preserve">Департамент здравоохранения                 </t>
  </si>
  <si>
    <t xml:space="preserve">Департамент социального развития </t>
  </si>
  <si>
    <t xml:space="preserve">Департамент культуры </t>
  </si>
  <si>
    <t xml:space="preserve">привлечённые средства </t>
  </si>
  <si>
    <t>Департамент труда и занятости населения</t>
  </si>
  <si>
    <t xml:space="preserve">Департамент строительства </t>
  </si>
  <si>
    <t xml:space="preserve">Департамент дорожного хозяйства и транспорта </t>
  </si>
  <si>
    <t xml:space="preserve">Департамент финансов </t>
  </si>
  <si>
    <t xml:space="preserve">Департамент по управлению государственным имуществом    </t>
  </si>
  <si>
    <t>Департамент по недропользованию</t>
  </si>
  <si>
    <t>Объем финансирования на 2014 год план                                              тыс. рублей</t>
  </si>
  <si>
    <t>Объем финансирования на 2014 год уточненный план    (май)                                                     тыс. рублей</t>
  </si>
  <si>
    <t>Объем финансирования на 2014 год уточненный план    (июнь)                                                     тыс. рублей</t>
  </si>
  <si>
    <t>Объем финансирования на 2014 год уточненный план    (июль)                                                     тыс. рублей</t>
  </si>
  <si>
    <t>Объем финансирования на 2014 год уточненный план    (август)                                                     тыс. рублей</t>
  </si>
  <si>
    <t>Объем финансирования на 2014 год уточненный план    (сентябрь)                                                     тыс. рублей</t>
  </si>
  <si>
    <t>Объем финансирования на 2014 год уточненный план    (октябрь)                                                     тыс. рублей</t>
  </si>
  <si>
    <t>программа «Сотрудничество»</t>
  </si>
  <si>
    <t>Департамент социального развития</t>
  </si>
  <si>
    <t>Департамент внутренней политики</t>
  </si>
  <si>
    <t>Всего по программе:</t>
  </si>
  <si>
    <t>федеральный бюджет</t>
  </si>
  <si>
    <t>Источники финансирования</t>
  </si>
  <si>
    <t>в том числе:</t>
  </si>
  <si>
    <t>бюджет автономного округа</t>
  </si>
  <si>
    <t>Департамент природных ресурсов и несырьевого сектора экономики</t>
  </si>
  <si>
    <t>Департамент образования и молодежной политики</t>
  </si>
  <si>
    <t>Департамент гражданской защиты населения</t>
  </si>
  <si>
    <t>Департамент физической культуры и спорта</t>
  </si>
  <si>
    <t>Департамент экономического развития</t>
  </si>
  <si>
    <t>Департамент информационных технологий</t>
  </si>
  <si>
    <t xml:space="preserve">бюджеты муниципальных образований </t>
  </si>
  <si>
    <t>бюджеты муниципальных образований</t>
  </si>
  <si>
    <t>№ п/п</t>
  </si>
  <si>
    <t xml:space="preserve"> тыс. рублей</t>
  </si>
  <si>
    <t>«Профилактике правонарушений в Ханты-Мансийском автономном округе - Югре на 2011-2013 годы»</t>
  </si>
  <si>
    <t>"Современное здравоохранение Югры на 2011-2013 годы"</t>
  </si>
  <si>
    <t>Улучшение жилищных условий населения Ханты-Мансийского автономного округа на 2011-2013 годы и на период до 2015 года"</t>
  </si>
  <si>
    <t>привлечённые средства</t>
  </si>
  <si>
    <t>ИТОГО</t>
  </si>
  <si>
    <t xml:space="preserve"> «Противодействие злоупотреблению наркотиками и их незаконному обороту в ХМАО – Югре на 2011 - 2013 годы»</t>
  </si>
  <si>
    <t>Соц</t>
  </si>
  <si>
    <t>Департамент финансов</t>
  </si>
  <si>
    <t xml:space="preserve">Ответственный исполнитель государственной программы </t>
  </si>
  <si>
    <t>Государственная программа Ханты-Мансийского автономного округа – Югры</t>
  </si>
  <si>
    <t>Государственная программа  Ханты-Мансийского автономного округа – Югры «Развитие здравоохранения на 2014 - 2020 годы»</t>
  </si>
  <si>
    <t>Государственная программа  Ханты-Мансийского автономного округа – Югры «Развитие образования в Ханты-Мансийском автономном округе - Югре на 2014 - 2020 годы»</t>
  </si>
  <si>
    <t>Государственная программа  Ханты-Мансийского автономного округа– Югры «Социальная поддержка жителей Ханты-Мансийского автономного округа - Югры на 2014 - 2020 годы»</t>
  </si>
  <si>
    <t>Государственная программа Ханты-Мансийского автономного округа – Югры «Развитие транспортной системы Ханты-Мансийского автономного округа – Югры на 2014 - 2020 годы»</t>
  </si>
  <si>
    <t>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2014 - 2020 годы»</t>
  </si>
  <si>
    <t xml:space="preserve">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 </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</si>
  <si>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2014 - 2020 годы»</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</si>
  <si>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2014 - 2020 годы»</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</si>
  <si>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2014 - 2020 годы» </t>
  </si>
  <si>
    <t>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2014 - 2015 годы»</t>
  </si>
  <si>
    <t>Государственная программа Ханты-Мансийского автономного округа – Югры «Развитие культуры и туризма в Ханты-Мансийском автономном округе – Югре на 2014 - 2020 годы»</t>
  </si>
  <si>
    <t>Государственная программа  Ханты-Мансийского автономного округа – Югры «Развитие физической культуры и спорта в Ханты-Мансийском автономном округе – Югре на 2014 - 2020 годы»</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</si>
  <si>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</si>
  <si>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2014 -2020 годы»</t>
  </si>
  <si>
    <t>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t>
  </si>
  <si>
    <t>Государственная программа  Ханты-Мансийского автономного округа – Югры «Обеспечение доступным и комфортным жильем жителей Ханты-Мансийского автономного округа – Югры в 2014 - 2020 годах»</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</si>
  <si>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t>
  </si>
  <si>
    <t>Государственная программа  Ханты-Мансийского автономного округа – Югры «Обеспечение прав и законных интересов населения Ханты- Мансийского автономного округа – Югры в отдельных сферах жизнедеятельности в 2014 - 2020 годах»</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</si>
  <si>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2014 - 2020 годы»</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</si>
  <si>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2014 - 2020 годы»</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</si>
  <si>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2014 - 2020 годы»</t>
  </si>
  <si>
    <t>Государственная программа Ханты-Мансийского автономного округа – Югры  «Информационное общество Ханты-Мансийского автономного округа – Югры на 2014 - 2020 годы»</t>
  </si>
  <si>
    <t>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2014 - 2020 годы»</t>
  </si>
  <si>
    <t xml:space="preserve">Департамент ЖКК и энергетики </t>
  </si>
  <si>
    <t xml:space="preserve">территориальный фонд ОМС        </t>
  </si>
  <si>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2014 - 2020 годы» </t>
  </si>
  <si>
    <t xml:space="preserve">дорожный фонд автономного округа </t>
  </si>
  <si>
    <t>Исполнено на 01.02.2014</t>
  </si>
  <si>
    <t>Объем финансирования на 2014 год, тыс. рублей</t>
  </si>
  <si>
    <t>Исполнено на 01.03.2014</t>
  </si>
  <si>
    <t>Объем финансирования      на 2014 год             уточненный план (февраль)                                             тыс. рублей</t>
  </si>
  <si>
    <t>% к Закону</t>
  </si>
  <si>
    <t>Итого</t>
  </si>
  <si>
    <t>Исполнено за 2014 год</t>
  </si>
  <si>
    <t>Исполнено на 01.05.2014</t>
  </si>
  <si>
    <t>Исполнено на 01.09.2014</t>
  </si>
  <si>
    <t>Исполнено на 01.10.2014</t>
  </si>
  <si>
    <t>Объем финансирования на 2014 год уточненный план    (март)                                                     тыс. рублей</t>
  </si>
  <si>
    <t>Объем финансирования на 2014 год уточненный план    (апрель)                                                     тыс. рублей</t>
  </si>
  <si>
    <t>Реальный сектор</t>
  </si>
  <si>
    <t>Жилищная сфера</t>
  </si>
  <si>
    <t>Безопасность</t>
  </si>
  <si>
    <t>Повышение эффективности государственного управления (Г)</t>
  </si>
  <si>
    <t>Департамент общественных и внешних связей</t>
  </si>
  <si>
    <t xml:space="preserve">Служба по контролю и надзору в сфере охраны окружающей среды, объектов животного мира и лесных отношений  </t>
  </si>
  <si>
    <t>Исполнено на  01.04.2014</t>
  </si>
  <si>
    <t>Отчет о ходе реализации государственных программ автономного округа в 2014 году</t>
  </si>
  <si>
    <t>Постановление от 9.10.2013 № 410-п (в редакции от 29.05.2014 №197-п)</t>
  </si>
  <si>
    <t>Исполнено                                                01.06.2014</t>
  </si>
  <si>
    <t>Исполнено              01.07.2014</t>
  </si>
  <si>
    <t xml:space="preserve">Исполнено на 01.08.2014 </t>
  </si>
  <si>
    <t xml:space="preserve">Государственная программа  Ханты-Мансийского автономного округа – Югры «Доступная среда в Ханты-Мансийском автономном округе – Югре на 2014 - 2020 годы» </t>
  </si>
  <si>
    <t xml:space="preserve">Причины отклонения фактически исполненных расходных обязательств над запланированными </t>
  </si>
  <si>
    <t>Постановление от 9.10.2013 № 431-п (в редакции от 24.10.2014 №387-п)</t>
  </si>
  <si>
    <t>Постановление от 9.10.2013 № 419-п (в редакции от 24.10.2014 №386-п)</t>
  </si>
  <si>
    <t>Постановление от 9.10.2013 № 409-п (в редакции от 31.10.2014 №398-п)</t>
  </si>
  <si>
    <t>Постановление от 9.10.2013 № 415-п (в редакции от 31.10.2014 №400-п)</t>
  </si>
  <si>
    <t>Постановление от 3.10.2013 № 398-п (в редакции от 31.10.2014 №401-п)</t>
  </si>
  <si>
    <t>Постановление от 9.10.2013 № 420-п (в редакции от 31.10.2014 №402-п)</t>
  </si>
  <si>
    <t>Постановление от 9.10.2013 № 425-п (в редакции от 31.10.2014 № 403-п)</t>
  </si>
  <si>
    <t>Постановление от 9.10.2013 № 427-п (в ред. от 31.10.2014 №406-п)</t>
  </si>
  <si>
    <t xml:space="preserve">Исполнено                                                            01.11.2014                        </t>
  </si>
  <si>
    <t>Объем финансирования на 2014 год уточненный план          (ноябрь)                                                     тыс. рублей</t>
  </si>
  <si>
    <t>Постановление от 9.10.2013 № 414-п (в редакции от 07.11.2014 №420-п)</t>
  </si>
  <si>
    <t xml:space="preserve">Постановление от 9.10.2013 № 408-п (в редакции от 21.11.2014 №442-п) </t>
  </si>
  <si>
    <t xml:space="preserve">Постановление от 9.10.2013 № 423-п (в редакции  от 21.11.2014 №441-п) </t>
  </si>
  <si>
    <t>Постановление от 9.10.2013 № 418-п (в редакции от 07.11.2014 №425-п)</t>
  </si>
  <si>
    <t xml:space="preserve">бюджет Томской области </t>
  </si>
  <si>
    <t>Постановление от 9.10.2013 № 416-п (в редакции от 07.11.2014 №423-п)</t>
  </si>
  <si>
    <t>Степень выполнения комплексных планов (сетевых графиков) *</t>
  </si>
  <si>
    <t>федеральный бюджет**</t>
  </si>
  <si>
    <t>* - без учета расходов по текущей деятельности ответственного исполнителя, соисполнителей государственной программы</t>
  </si>
  <si>
    <t xml:space="preserve">**  - средства федерального бюджета 2014 года в размере 65 755,0 тыс. рублей и средства 2013 года в размере 8 500,0 тыс. рублей.
</t>
  </si>
  <si>
    <t>Объем финансирования на 2014 год (в соответствии с Законом о бюджете 107-оз от 07.11.2013 г. (в ред. от 19.11.2014)                                                тыс. рублей</t>
  </si>
  <si>
    <t>привлеченные средства от хозяйствующих субъектов, осуществляющих деятельность на территории автономного округа</t>
  </si>
  <si>
    <t>Постановление от 9.10.2013 № 430-п (в редакции от 24.10.2014 №390-п)</t>
  </si>
  <si>
    <t>Ежемесячное перечисление межбюджетных трансфертов из бюджета автономного округа муниципальным образованиям автономного округа, являющимся получателями средств по соответствующим мероприятиям программы, осуществлено в полном объеме</t>
  </si>
  <si>
    <t>Постановление от 9.10.2013 № 412-п (в редакции  от 24.10.2014 №388-п)</t>
  </si>
  <si>
    <t>Постановление от 9.10.2013 № 429-п (в редакции от 07.11.2014 № 419-п)</t>
  </si>
  <si>
    <t>Постановление от 9.10.2013 № 417-п (в редакции от 31.10.2014 №407-п)</t>
  </si>
  <si>
    <t>Справочно:</t>
  </si>
  <si>
    <t>Оценка исполнения за 2014 год</t>
  </si>
  <si>
    <t>Перспективы реализации программы в 2014 году</t>
  </si>
  <si>
    <t xml:space="preserve">Департамент внутренней политики </t>
  </si>
  <si>
    <t>С начала года выполнены работы по охране, защите и воспроизводству лесов в Сургутском, Юганском и Няксимвольском лесничествах. 
Утверждено: 15 патрульных маршрутов авиационного патрулирования, маршруты наземного патрулирования; паспорта 20 пожарно-химстанций на 2014 год; расчетная и назначенная кратность авиапатрулирования; план-график по совместным учениям и тренировкам на территории лесного фонда автономного округа по проверке готовности сил и средств к пожароопасному сезону 2014 года в разрезе филиалов; план лесоавиационных работ на 2014 год; производственные задания для филиалов и авиаотделений на 2014 год; расчетная кратность патрулирования по фактической стоимости летного часа; назначенная кратность патрулирования по фактической стоимости летного часа.
Проведено обучение 20 десантников-пожарных, 36 парашютистов-пожарных, 35 чел. ППС, 17 ответственных за безопасную эксплуатацию грузоподъемных механизмов, 17 водителей пожарных машин.
Создан запас ГСМ 202,6 тыс. литров</t>
  </si>
  <si>
    <t>Осуществлена поставка и монтаж 11 зданий сборно-разборного типа для стоянки пожарной техники и размещения личного состава в 7 населенных пунктах (Ванзеват Белоярского района, Кама Кондинского района, Кормужиханка, Большие Леуши, Большой Атлым, Чемаши Октябрьского района, Белогорье Ханты-Мансийского района).
Заключены госконтракты на закупку товаров (работ, услуг) по обеспечению участия в ежегодном проведении окружных соревнований «Школа безопасности», на оказание услуг связи для нужд подвижного командного пункта управления Губернатора, на аренду воздушных судов с целью обеспечения мероприятий по поиску и спасению людей, на выполнение работ по модернизации территориальной автоматизированной системы централизованного оповещения населения, на выполнение работ по разработке технического проекта «Комплексная система экстренного оповещения населения, на оказание услуг по организации и проведению мероприятия по обнаружению радиационных источников с применением оборудования радиационного контроля в целях предотвращения их (источников) утраты, несанкционированного использования, хищения и предупреждения чрезвычайных ситуаций по радиационному фактору на территории автономного округа, на выполнение работ по организации и проведению радиационно-гигиенического мониторинга с целью обеспечения функционирования радиационно-гигиенической паспортизации и Единой системы контроля и учета индивидуальных доз облучения граждан</t>
  </si>
  <si>
    <t xml:space="preserve">Доля населения, вовлечённого в эколого-просветительские и эколого-образовательные мероприятия, от общего количества населения автономного округа составила 31,8%, при плане на год 29 % (109,7%).
Объём произведенных измерений для получения достоверной информации о состоянии и загрязнении окружающей среды составил 1,515 млн. ед. при плане на год 1,692 млн. ед.
Осуществляется строительство: 4 полигонов ТБО; противопаводковых дамб обвалования и берегоукрепительных сооружений. 
Продолжаются проектно-изыскательские работы по объекту «Дамба обвалования» в пгт. Приобье Октябрьского района (мощность 512 п.м.).
Выполнены работы по закреплению на местности границ водоохранных зон и границ прибрежных защитных полос водных объектов посредством размещения специальных информационных знаков в бассейнах: р. Иртыш, протоки Горная, р. Обь, протоки Тренькина, р. Шапшинская и элементов их гидросети в границах сельского поселения Шапша.
Составлен ежегодный отчет о динамике содержания загрязняющих веществ в компонентах природной среды в границах лицензионных участков недр за 2013 год в сравнении с 2012 годом. 
Ежемесячно производится отбор и анализ проб на территориальной сети постов наблюдения Белоярский, Берёзово, Нефтеюганск, Нижневартовск, Радужный, Сургут.
Осуществляется сопровождение системы информационного обеспечения государственного экологического контроля
</t>
  </si>
  <si>
    <t>За 11 месяцев текущего года перевезено в межмуниципальном и пригородном сообщении 1056,7 тыс.чел .автомобильным транспортом, 163,4 тыс.чел. воздушным транспортом, 184,9 тыс.чел водным транспортом, 252 тыс.чел. железнодорожным транспортом.
Заключены договоры о предоставлении субсидий предприятиям автомобильного, воздушного, внутреннего водного, железнодорожного транспорта, осуществляется финансирование.
Заключены государственные контракты на приобретение автобусов для пассажирских перевозок, плавучих стоечных понтонов и двигателей для скоростных пассажирских судов. Осуществляется госэкспертиза проектной документации по реконструкции аэродрома г.Нижневартовск. Осуществляются строительно-монтажные работы по объекту авторечвокзал в п.Березово.
Осуществляется закупка спецпродукции по госнадзору в сфере безопасности при использовании тракторов, самоходных дорожно-строительных и иных машин, не предназначенных для движения по автомобильным дорогам общего пользования</t>
  </si>
  <si>
    <t>Завершено строительство коммунальных объектов:
г.Нефтеюганск возобновлены работы по газификации микрорайона 11а (благоустройство), построено здание технологических емкостей 25000 куб. м/ сут.;
г.Сургут канализационный коллектор от КНС-12(7);  
г. Урай малогабаритная автоматизированная котельная МАК-8;  
Белоярский район п.Сорум реконструкция водоочистных сооружений КС Сорумская. 1 очередь (СМР);  
г.Белоярский реконструкция сетей тепловодоснабжения микрорайона №3, 3 этап;  
г.Белоярский канализационная насосная станция №4 по ул.Набережная; 
Нижневартовский район с.Ларьяк КОС</t>
  </si>
  <si>
    <t>Постановление от 9.10.2013 № 413-п (в редакции от 21.11.14 №443-п)</t>
  </si>
  <si>
    <t>Постановление от 9.10.2013 № 421-п (в редакции от 24.10.2014 № 391-п)</t>
  </si>
  <si>
    <t>Постановление от 9.10.2013 № 422-п (в редакции от 31.10.14 №405-п)</t>
  </si>
  <si>
    <t>Постановление от 9.10.2013 № 426-п (в редакции от от 31.10.2014 №408-п)</t>
  </si>
  <si>
    <t>Постановление от 9.10.2013 № 424-п (в редакции   от 31.10.2014 №404-п)</t>
  </si>
  <si>
    <t>Постановление от 9.10.2013 № 428-п (в редакции от 24.10.2014 № 389-п)</t>
  </si>
  <si>
    <t>Постановление от 9.10.2013 № 411-п (в редакции от 31.10.2014  № 399-п)</t>
  </si>
  <si>
    <t xml:space="preserve">За январь-ноябрь 2014 года принято заявлений от 8 195 семей на участие в программе, включено в Единый список 6 398 семей, из них:
175 семей на предоставление социальной выплаты (доплаты) к накоплениям граждан,
5 812 семей на компенсацию части процентной ставки по кредитам на приобретение (строительство) жилых помещений гражданам, нуждающимся в улучшении жилищных условий, проживающим на территории автономного округа не менее пятнадцати лет,
411 семей на предоставление субсидии в рамках мероприятия "Улучшение жилищных условий отдельных категорий граждан".
Заключено 34 соглашения по социальным выплатам к накоплениям граждан (накопительная ипотека).
3 906 семей улучшили жилищные условия, из них:
заключено 2 306 трёхсторонних соглашений с компенсацией части процентной ставки по ипотечным кредитам;
выплачено 874 субсидии молодым семьям;
реализовано 145 свидетельств молодыми семьями в рамках ФЦП "Жилище" на 2011-2015 годы, 10 свидетельств молодыми учителями, 28 субсидий гражданами из числа КМНС;
переселена 271 семья в рамках муниципальных программ по ликвидации балочных массивов;
26 ветеранов ВОВ улучшили жилищные условия, 140 ветеранов боевых действий;
выезжающими из автономного округа реализовано 25 госжилищных сертификата, получена  81 субсидия
</t>
  </si>
  <si>
    <t>Поступило 68 заявлений от граждан, на выплату денежного вознаграждения в связи с добровольной сдачей незаконно хранящихся оружия, боеприпасов, взрывчатых веществ.
Проведен семинар по теме «Меры по профилактике терроризма в молодежной среде», участвовало 59 муниципальных служащих, руководителей образовательных учреждений муниципальных образований автономного округа, 50 чел. получили сертификаты.
Проведен семинар-совещание на тему «Итоги деятельности органов местного самоуправления по созданию условий для деятельности добровольных формирований населения по охране общественного порядка», 70 участников.
Проведен конкурс муниципальных образований автономного округа по созданию условий для деятельности добровольных формирований населения по охране общественного порядка.
Выпущено 2 издания ежеквартального вестника «Югра - территория здоровья».
1 584 спортсменов приняли участие в 15 мероприятиях в рамках кампании «Спорт против наркотиков».
Приобретено 26 000 штук экспресс-тестов для определения наркотических средств по слюне у учащихся и студентов, разработаны макеты лифлетов для информационного сопровождения мероприятий по добровольному тестированию учащихся и студентов образовательных учреждений на предмет потребления наркотических средств и психотропных веществ.
Приобретена атрибутика и промоодежда с нанесением логотипа для Международного дня борьбы с наркоманией.
Приобретено 7 710 световозвращающих приспособлений.
Изготовлены рекламный аудиоролик о Президентской программе подготовки управленческих кадров для организации народного хозяйства РФ, календарь «Выпускник Президентской программы управленческих кадров в лицах и датах»
Продолжается строительство малосемейного общежития для полицейских в п.Белый Яр.
Начато строительство 11 участковых пунктов полиции в муниципальных образованиях автономного округа.
Строительство участковых пунктов полиции, начатых в 2013 году: по 1-му планируется завершение до конца года и на 2 получено разрешение на ввод объекта в эксплуатацию</t>
  </si>
  <si>
    <t>Проведены техработы по созданию промо-сайта Года доброй воли в Югре.
Организовано семинарское занятие «Социальные проекты НКО в сфере этноконфессиональных отношений: новые форматы реализации».
Проведена VII Международная конференция ассоциированных школ ЮНЕСКО «Обь-Иртышский бассейн: молодёжь изучает и сохраняет природное и культурное наследие в регионах великих рек мира».
Осуществляется перевод на иностранные языки материалов на едином официальном сайте госорганов автономного округа.
Организована работа телефестиваля «Спасти и сохранить» 2014 года.
Производство и выпуск на телеканале «Югория» 2-х телепрограмм : «Веди здоровый образ жизни» и «Вредные привычки опасны» и видеоролика на тему профилактики детского травматизма.
Организована деловая миссия предприятий Югры на Международную специализированную выставку Global Petroleum Show 2014 (г. Калгари, Канада).
Организовано участие представителей малого и среднего бизнеса, ИОГВ автономного округа в Международной выставке «Белагро-2014» в г. Минск.
Участие в работе семинаров  «Технологическое Шоу Беларусь», в мастер-классе по борьбе с болезнями крупного рогатого скота.
Проведен X окружной форум Информационный мир Югры, состоялись занятия в рамках проекта «Медиашкола».
Организовано участие делегации автономного округа в заседании Комитета региональных координаторов международной организации северных регионов «Северный Форум», гг. Рейкьявик, Акурейри (Исландия),
Организовано участие представителя Республики Беларусь во II Международном конгрессе традиционной художественной культуры: проблемы фундаментальных исследований народного искусства в г. Ханты-Мансийске.
Проведено социсследование на тему изучения уровня удовлетворенности населения услугами СО НКО</t>
  </si>
  <si>
    <t>Проведено 3 электронных аукциона в открытой форме на техническое обслуживание имущества автономного округа, предназначенного для бесперебойной поставки газа в г. Ханты-Мансийск и Ханты-Мансийский р-н, п. Шеркалы Октябрьского р-на, Полноват Белоярского р-на, по результатам которых один аукцион признан несостоявшимся (объявлен повторный аукцион), по состоявшимся аукционам проходит процедура заключения гос. контрактов.
Проходит процедура заключения гос. контрактов на страхование гос.имущества автономного округа и на поставку, монтаж и наладку базовых референцных станций и оборудования.
Осуществляется приемка работ по оценке гос. имущества и выполнения кадастровых работ.
Реализованы мероприятия по энергосбережению, приобретению хозяйственных и иных товаров и расходных материалов в целях реализации технического обслуживания;
осуществлялась закупка ГСМ, приобретение запасных частей, оплата услуг по ремонту</t>
  </si>
  <si>
    <t>В рамках культурно-образовательного проекта «Международный молодежный форум-фестиваль «Северный диалог»:
проведены тренинги;
состоялось заседание окружного молодежного дискуссионного клуба «Диалог»;
проведён окружной молодежный фестиваль культурных и национальных традиций «Через многообразие к единству».
В эфире радио «Югра» вышла радиопрограмма «Территория разных». Подготовлен телемарафон «Мы все живем в Югре», посвященный празднику «День народного единства» и международному дню толерантности.
Подготовлена телевизионная программа «Мои соседи».
Вручены ценные призы победителям конкурса профессионального журналистского мастерства, способствующего формированию положительного представления о многонациональности Югры.
Проведен семинар на тему: «Информационное противодействие распространению идей экстремизма в сети Интернет».
В г.Нефтеюганске на базе детского дома «Светозар» состоялся Фестиваль национальных культур «Мы единый народ», направленный на профилактику проявлений экстремизма в молодежной среде, участвовало 40 воспитанников детских домов автономного округа.
Проведены Чемпионат и Первенство автономного округа по пауэрлифтингу (троеборью), посвященные международному дню толерантности, участвовало 112 спортсменов из 13 муниципальных образований.
Проведен Открытый Региональный турнир по художественной гимнастике «Югорские россыпи», участвовало 150 спортсменов</t>
  </si>
  <si>
    <t>Планового значения достигли следующие показатели: 
3 400 чел. в возрасте 14-30 лет вовлечены в реализуемые проекты и программы в сфере поддержки талантливой молодежи; 
1 400 чел. вовлечены в общественные объединения; 
1 900 чел. приняли участие в добровольческой деятельности; 
2 250 чел., оказавшихся в трудной жизненной ситуации, вовлечены в программы и проекты социализации; 
200 социально-значимых молодежных проектов заявлены на окружные конкурсы;
40,8 % обучающихся 5-11 классов приняли участие в школьном этапе Всероссийской олимпиады школьников (в общей численности обучающихся); 
15 000 чел. в возрасте 14-23 лет трудоустроены за счет создания временных и постоянных рабочих мест;
100 % образовательных учреждений общего образования, функционируют в рамках национальной образовательной инициативы «Наша новая школа»; 
79,2% учреждений профобразования региональной формы собственности внедрили новые программы и модели профобразования.
Обеспечено проведение 35 мероприятий направленных на выявление и поддержку талантливой молодежи, допризывную подготовку молодежи, развитие системы дополнительного образования детей, а также на внедрение ФГОС (более 9 300 участников).
Более 170 человек приняли участие в 11 мероприятиях, направленных на выявление и поддержку талантливой молодежи, допризывную подготовку молодежи</t>
  </si>
  <si>
    <t>Исполнено на 01.12.2014 год</t>
  </si>
  <si>
    <t>По большинству показателей эффективности динамика положительная, по итогам года прогнозируется достижение всех показателей на запланированном уровне.</t>
  </si>
  <si>
    <t>Достижение целевых показателей ожидается на уровне 100 %. Оценка ДЭР</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</si>
  <si>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100%</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</si>
  <si>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99,5%</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</si>
  <si>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97,5%</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</si>
  <si>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98,1%</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</si>
  <si>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99,4%</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</si>
  <si>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99,6%</t>
  </si>
  <si>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90,3%</t>
  </si>
  <si>
    <r>
      <t>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99,5%</t>
    </r>
    <r>
      <rPr>
        <sz val="10"/>
        <color indexed="10"/>
        <rFont val="Times New Roman"/>
        <family val="1"/>
      </rPr>
      <t xml:space="preserve">
</t>
    </r>
  </si>
  <si>
    <r>
      <t xml:space="preserve">По итогам года прогнозируется достижение всех показателей на запланированном уровне, за исключением показателя: "Количество выдающихся деятелей культуры и искусства, молодых талантливых авторов, удостоенных мер государственной поддержки (гранты, премии)" который </t>
    </r>
    <r>
      <rPr>
        <sz val="10"/>
        <color indexed="10"/>
        <rFont val="Times New Roman"/>
        <family val="1"/>
      </rPr>
      <t>не будет достигнут</t>
    </r>
    <r>
      <rPr>
        <sz val="10"/>
        <color indexed="8"/>
        <rFont val="Times New Roman"/>
        <family val="1"/>
      </rPr>
      <t xml:space="preserve">  в связи с отсутствием заявок от участников (социально ориентированные общественные некоммерческие организации, индивидуальные предприниматели, физические лица,  разрабатывающие и предлагающие проекты (программы, услуги) в сфере культуры) по нескольким номинациям не присуждены 8 премий в области культуры и искусства "Событие" Депкультуры Югры.                                                                                       Неисполнение по местному бюджету предполагается по строительству объекта "Спортивно-досуговый комплекс пгт. Белый Яр. 2 очередь. Культурно-досуговый центр Сургутский район" в связи с тем, что  денежные средства не предусмотрены в бюджете Сургутского района.
Объем привлеченных средств указан с учетом денежных средств, направляемых на строительство Дворца искусств "Нефтянник" в г. Сургуте ОАО "Сургутнефтегаз" в объеме 1 137 926,0 тыс. рублей. Информация по исполнению </t>
    </r>
    <r>
      <rPr>
        <sz val="10"/>
        <color indexed="10"/>
        <rFont val="Times New Roman"/>
        <family val="1"/>
      </rPr>
      <t xml:space="preserve">указанных </t>
    </r>
    <r>
      <rPr>
        <sz val="10"/>
        <color indexed="8"/>
        <rFont val="Times New Roman"/>
        <family val="1"/>
      </rPr>
      <t xml:space="preserve">денежных средств у администрации г. Сургута отсутствует 
</t>
    </r>
  </si>
  <si>
    <t>Бюджет автономного округа за ноябрь исполнен на 84,7% не исполнено 31 136,5 тыс. рублей в связи с несвоевременным внесением изменений в комплексный план (сетевой график)</t>
  </si>
  <si>
    <t>По всем показателям эффективности динамика положительная, по итогам года прогнозируется достижение всех показателей на запланированном уровне, по двум показателям планируется перевыполнение.
Исполнение по бюджету автономного округа планируется на уровне 85,0%. Основная доля расходов государственной программы составляет компенсацию расходов участникам государственной программы по найму (аренде) жилья (16,1 млн. рублей). Выплаты носят заявительный характер, и производятся соотечественнику с момента получения им свидетельства участника государственной программы, которое выдает УФМС России по Ханты-Мансийскому автономному округу-Югре в установленный законодательством срок.
В связи с задержкой УФМС по Ханты-Мансийскому автономному округу-Югре выдачи свидетельств участника государственной программы соотечественникам, чьи кандидатуры согласованы Департаментом для участия в Программе, не все из них смогут в декабре получить компенсацию расходов по найму жилья</t>
  </si>
  <si>
    <t xml:space="preserve">По итогам года прогнозируется достижение всех показателей на запланированном уровне, за исключением показателей:
1. Доля продукции высокотехнологичных и наукоемких отраслей в ВРП, (%) &lt;3&gt;, &lt;4&gt; - 3,2 или 47% от годового плана;
2. Удельный вес инновационных товаров, работ, услуг в общем объеме отгруженных товаров, выполненных работ, оказанных услуг,  (%) - 0,2 или 8,3 % от годового плана
</t>
  </si>
  <si>
    <t xml:space="preserve">Достижение целевых показателей ожидается на уровне 100 %.
Низкое исполнение по федеральному бюджету (расходы по текущей деятельности Службы по контролю и надзору в сфере охраны окружающей среды, объектов животного мира и лесных отношений) связано с тем, что при проведении аукционов  на закупку оборудования для Службы не подана ни одна заявка на участие, в связи с чем аукцион признан несостоявшимся.
При проведенииповторного аукциона на закупку оборудования для Службы сложилась экономия по торгам в размере 6,0 тыс. рублей
</t>
  </si>
  <si>
    <t xml:space="preserve">По итогам года прогнозируется достижение всех показателей на запланированном уровне, за исключением показателя: «Количество заключенных с гражданами договоров с социальной выплаты» планируется  на уровне 28% (50 при плане 177), что связано с низкой активностью населения заключения договоров по накопительной ипотеке 
</t>
  </si>
  <si>
    <t xml:space="preserve">     Исполнено  на 01.12.2014 год </t>
  </si>
  <si>
    <t>Создан Общественный совет по реализации Стратегии – 2030 при Губернаторе автономного округа.  Утвержден прогноз социально-экономического развития на 2015-2017 годы. 
По итогам оценки уровня социально-экономического развития (СЭР) муниципальных образований автономного округа за 2012 год трем муниципальным образованиям с наименьшим уровнем СЭР перечислены субсидии.
Заключаются соглашения между Правительством автономного округа и юридическими лицами, направленным на обеспечение взаимовыгодного сотрудничества в социально-экономическом развитии автономного округа, повышении качества жизни населения автономного округа.
Обеспечено 3 доступа к информационному ресурсу СПАРК.
Приобретена статинформация, для заполнения баз социально-экономических данных поселений за январь-сентябрь 2014 г.
Утвержден План мероприятий (дорожная карта) внедрения Стандарта деятельности ИОГВ автономного округа по обеспечению благоприятного инвестклимата в автономном округе.
Разработана дорожная карта «Развитие конкуренции в Ханты-Мансийском автономном округе – Югре».
Заключено доп. соглашение с ООО «Управляющая компания «Сургутгазстрой» на предоставление субсидий на реализацию инвестиционного проекта в сфере потребительского рынка на территории автономного округа.
Заключены Договоры с 22 муниципальными образованиями на предоставление субсидий на реализацию муниципальных программ развития малого и среднего предпринимательства</t>
  </si>
  <si>
    <t>Оценка исполнения за 2014 год, %</t>
  </si>
  <si>
    <t>Постановление от 9.10.13 № 430-п (в редакции от 24.10.14 №390-п)</t>
  </si>
  <si>
    <t>Постановление от 9.10.13 № 409-п (в редакции от 31.10.14 №398-п)</t>
  </si>
  <si>
    <t>Постановление от 9.10.13 № 428-п (в редакции от 24.10.14 № 389-п)</t>
  </si>
  <si>
    <t>Постановление от 9.10.13 № 411-п (в редакции от 31.10.14  № 399-п)</t>
  </si>
  <si>
    <t>Постановление от 9.10.13 № 412-п (в редакции  от 24.10.14 №388-п)</t>
  </si>
  <si>
    <t>Постановление от 9.10.13 № 429-п (в редакции от 07.11.14 № 419-п)</t>
  </si>
  <si>
    <t>Постановление от 9.10.13 № 410-п (в редакции от 29.05.14 №197-п)</t>
  </si>
  <si>
    <t>Постановление от 9.10.13 № 431-п (в редакции от 24.10.14 №387-п)</t>
  </si>
  <si>
    <t>Проведено: 355 спортивно-массовых мероприятий; 34 тренерских и судейских совещания; торжественная церемония чествования спортсменов, тренеров и специалистов физической культуры и спорта «Спортивная элита» по итогам 2013 года; 616 тренировочных мероприятий для сборных команд автономного округа. Спортсмены автономного округа приняли участие в 750 спортивных соревнованиях. 
Спортсменами автономного округа завоевано 1 998 медалей на соревнованиях различного уровня: 1 751 на всероссийских, 247 на международных. 
В 2014 году введено в эксплуатацию 4 объекта спорта:
г. Пыть-Ях «Модульная лыжная база с комплектом спортивного оборудования и инвентаря»;
г. Нягань «Универсальная спортивная площадка 9м х18м с резино-наливным покрытием EPDM»;
г. Ханты-Мансийск «Спортивные сооружения открытого типа в границах улиц Свердлова-Рознина-Калинина-Пионерская»;
г. Нефтеюганск «Парково-досуговая зона со зданием крытого бассейна». 
Выполняются проектно-изыскательские работы по 5 объектам спорта.
Ведется строительство 14 объектов спорта, из них в 2014 году планируются к сдаче в эксплуатацию 4 объекта:
Сургутский район, п. Нижнесартымский «Центр спортивный с универсальным игровым залом, плавательным бассейном и крытым катком с искусственным льдом»;
Березовский район, пгт. Игрим «Крытый хоккейный корт»;
г. Урай «Лыжная база»; Ханты-Мансийский район, п. Горноправдинск «Комплекс спортивных плоскостных сооружений»</t>
  </si>
  <si>
    <t xml:space="preserve">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93,6% . Федеральный бюджет - исполнение от плана на год 68,3%. Низкое исполнение объясняется снижением среднемесячной численности получателей социальных выплат. Расчет общего объема субвенций из федерального бюджета на 2014 год был произведен Рострудом РФ от прогнозной среднемесячной численности безработных граждан, получающих социальные выплаты 5 204 человек  (Акт сверки исходных данных Роструда от 10.07.2013г №27/2013). По оперативным данным фактически среднемесячная численность безработных граждан, получающих социальные выплаты, за период январь-ноябрь 2014 года составила – 2 928 человек.
Как следствие, снизилась потребность в средствах, запланированных на социальные выплаты. В адрес Роструда были направлены предложения о корректировке объема субвенции федерального бюджета на 2014 год в сторону уменьшения на сумму 115 231,0 тыс.руб. (исх. от 28.08.2014 №АК-16692).  )                                                                                                                                                    </t>
  </si>
  <si>
    <r>
      <t xml:space="preserve">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96,7 %                          </t>
    </r>
    <r>
      <rPr>
        <sz val="10"/>
        <color indexed="62"/>
        <rFont val="Times New Roman"/>
        <family val="1"/>
      </rPr>
      <t>По бюджетам муниципальных образований: прогнозируемый низкий процент связан с тем, что не проведена корректировка запланированного годового объема бюджета муниципальных образований в соответствии с Порядком выплаты субсидии по мероприятию 2. «Предоставление субсидии в целях обеспечения страховой защиты имущества муниципальных образований», корректировка будет проведена в конце декабря текущего года</t>
    </r>
  </si>
  <si>
    <r>
      <t xml:space="preserve">По всем показателям эффективности динамика положительная, по итогам года прогнозируется достижение всех показателей на запланированном уровне. 
Выполнение мероприятий программы и финансирование прогнозируется на уровне 98,4%                                  </t>
    </r>
    <r>
      <rPr>
        <sz val="10"/>
        <color indexed="62"/>
        <rFont val="Times New Roman"/>
        <family val="1"/>
      </rPr>
      <t>По бюджету автономного округа: 
по объекту г.Урай "Больница восстановительного лечения"2 очередь. Первый пусковой комплекс -  средства будут освоены  на 80 %, что составляет  92 865 тыс. руб. По причине несостоявшихся аукционов, поздним уточнением, согласованием технических характеристик оборудования, неисполненных обязательств по предписанию службы жилищного и строительного надзора ХМАО-Югры и дополнительных работ на завершение строительства объекта;                                                                                    по объекту "Хирургический корпус ОКБ г.Сургута" выделенные средства на проведение ремонтных работ будут освоены на 71,5%, что составляет 69 074,6 тыс. руб. По причине отклонения от проектных решений в ходе работ, завершение объекта в сроки подрядчиком ООО "Сибвитосервис" невозможно. Остальные запланированные средства программных мероприятий будут освоены на 98 %. 
По бюджетам муниципальных образований:
по объекту г.Урай  "Больница восстановительного лечения" 2 очередь Первый пусковой комплекс средства будут освоены на 80 %, что составляет 4 887,2 тыс. руб. Остальные запланированные средства программных мероприятий будут освоены на 100%</t>
    </r>
    <r>
      <rPr>
        <sz val="10"/>
        <rFont val="Times New Roman"/>
        <family val="1"/>
      </rPr>
      <t xml:space="preserve">
</t>
    </r>
  </si>
  <si>
    <t>в т.ч. привлеченные средства от хозяйствующих субъектов, осуществляющих деятельность на территории автономного округа</t>
  </si>
  <si>
    <t xml:space="preserve">Результаты реализации программы
на 1 января 2015 года
(достижение основных целевых показателей)
план/факт
</t>
  </si>
  <si>
    <t>план на декабрь</t>
  </si>
  <si>
    <t>факт за декабрь</t>
  </si>
  <si>
    <t>Постановление от 9.10.13 № 427-п (в ред. от 05.12.14 №462-п)</t>
  </si>
  <si>
    <t>Постановление от 9.10.13 № 425-п (в редакции от 05.12.14 № 463-п)</t>
  </si>
  <si>
    <t>Постановление от 9.10.13 № 420-п (в редакции от 26.12.14 №524-п)</t>
  </si>
  <si>
    <t>Постановление от 3.10.13 № 398-п (в редакции от 26.12.14 №525-п)</t>
  </si>
  <si>
    <t>Постановление от 9.10.13 № 415-п (в редакции от 26.12.14 №529-п)</t>
  </si>
  <si>
    <t>Постановление от 9.10.13 № 416-п (в редакции от 26.12.14 №530-п)</t>
  </si>
  <si>
    <t>В Т.Ч. привлеченные средства от хозяйствующих субъектов, осуществляющих деятельность на территории автономного округа</t>
  </si>
  <si>
    <t>Постановление от 9.10.13 № 414-п (в редакции от 19.12.14 №490-п)</t>
  </si>
  <si>
    <t>Постановление от 9.10.13 № 418-п (в редакции от 29.12.14 №536-п)</t>
  </si>
  <si>
    <t xml:space="preserve">Постановление от 9.10.13 № 408-п (в редакции от 29.12.14 №535-п) </t>
  </si>
  <si>
    <t>Постановление от 9.10.13 № 424-п (в редакции  от 12.12.14 №482-п)</t>
  </si>
  <si>
    <t>Постановление от 9.10.13 № 413-п (в редакции от 19.12.14 №488-п)</t>
  </si>
  <si>
    <t>Постановление от 9.10.13 № 421-п (в редакции от 26.12.14 № 531-п)</t>
  </si>
  <si>
    <t xml:space="preserve">Постановление от 9.10.13 № 423-п (в редакции  от 26.12.14 №520-п) </t>
  </si>
  <si>
    <t>Постановление от 9.10.13 № 426-п (в редакции от от 26.12.14 №521-п)</t>
  </si>
  <si>
    <t>Постановление от 9.10.13 № 419-п (в редакции от 26.12.14 №527-п)</t>
  </si>
  <si>
    <t>Постановление от 9.10.13 № 422-п (в редакции от 26.12.14 №528-п)</t>
  </si>
  <si>
    <t>Постановление от 9.10.13 № 417-п (в редакции от 26.12.14 №526-п)</t>
  </si>
  <si>
    <t>По текущему содержанию Департамента сложилась экономия средств бюджета в сумме 206,3 тыс.руб</t>
  </si>
  <si>
    <t xml:space="preserve">Внесены изменения в действующие законодательные и другие нормативные правовые акты автономного округа в части совершенствования нормативного правового регулирования в сфере бюджетного процесса и управления государственным долгом. 
Осуществлено внесение изменений в Закон автономного округа «О бюджете Ханты-Мансийского автономного округа – Югры на 2014 год и на плановый период 2015 и 2016 годов» от 20.02.2014 №1-оз, от 10.07.2014 №56-оз, от 17.10.2014 № 80-оз, от 19.11.2014 №87-оз, от 23.12.2014 № 116-оз. 
Принят Закон автономного округа «О бюджете Ханты-Мансийского автономного округа – Югры на 2015 год и на плановый период 2016 и 2017 годов» от 19.11.2014 №88-оз. Своевременно подготовлена и направлена в Минфин России отчетность об исполнении консолидированного бюджета субъекта РФ за 2013 год и за январь-ноябрь 2014 года.  Осуществлено выделение из резервного фонда Правительства автономного округа бюджетных ассигнований на финансирование наказов избирателей депутатам Думы автономного округа на I-VI кварталы 2014 года. 
Заключено с Минфином России Соглашение о предоставлении бюджету автономного округа дополнительной финансовой помощи из федерального бюджета в виде дотации на частичную компенсацию дополнительных расходов на повышение оплаты труда работников бюджетной сферы
</t>
  </si>
  <si>
    <t>Объем финансирования на 2014 год (в соответствии с Законом о бюджете 107-оз от 07.11.13 г. (в ред. от 23.12.14)                                                тыс. рублей</t>
  </si>
  <si>
    <t>Достижение показателей по сравнению с аналогичным периодом 2013 года:
- младенческая смертность (случаев на 1000 детей родившихся живыми) снизилась на 21,4 % с 5,6 до 4,4 (по РФ 7,5);
- смертность от болезней системы кровообращения (на 100 тыс. населения) снизилась на 6,5 % с 282,5 до 264,1 (по РФ 653,5); 
- смертность от активного туберкулёза (на 100 тыс. населения) снизилась на 11,7 % с 6 до 5,3(по РФ 10,0); 
- смертность от дорожно-транспортных происшествий (на 100 тыс. населения) снизилась на 6,8 % с 17,6 до 16,4 (по РФ 17,8);
- смертность от новообразований (включая злокачественные) (на 100 тыс. населения) возросла на 1,9 % с 110,9 до 113 (по РФ 201,2)</t>
  </si>
  <si>
    <t xml:space="preserve">Планового значения достигли следующие показатели:  
- количество участков недр углеводородного сырья, предлагаемых для лицензирования  – 77 шт.;
- ежегодный прирост запасов за счет поисково-разведочного бурения - 71 млн. тонн;
- количество месторождений углеводородного сырья – 480;
- количество месторождений общераспространенных полезных ископаемых поставленных на территориальный баланс – 176;
- доля введенных в разработку месторождений углеводородного сырья от общего количества открытых месторождений – 53,9%;
- начальный коэффициент извлечения нефти – 0,378;
- освоенность ресурсной базы – 62,9%
</t>
  </si>
  <si>
    <t xml:space="preserve">Планового значения достигли следующие показатели:  
- количество жителей Ханты-Мансийского автономного округа – Югры, получивших навыки использования информационно-коммуникационных технологий – 51,1 тыс. человек ;
- количество функционирующих центров общественного доступа в Ханты-Мансийском автономном округе – Югре, в том числе специализированных центров с возможностями для граждан с ограниченными возможностями здоровья и центров подключенных к сети Интернет с использованием спутниковых технологий - 220;
- количество транспортных средств, зарегистрированных в региональной навигационно-информационной системе автономного округа– 7 500;
- количество выполненных работ по автоматизации, информационному и техническому обеспечению деятельности органов государственной власти– 19 524;
- количество выполненных работ по сопровождению и эксплуатации автоматизированных информационных систем– 16 473;
- оформление документов (свидетельств), патентов о внедрении результатов научно-исследовательских работ в области геоинформатики, информационно-космических технологий рационального природопользования, информационных технологий в управлении, экономике, медицине, бизнесе и образовании, а также в области создания единой информационно-коммуникационной среды– 3;
- доля домохозяйств, имеющих возможность пользоваться услугами доступа к информационно-телекоммуникационной сети «Интернет», предоставляемыми не менее чем двумя операторами связи на территории Ханты-Мансийского автономного округа – Югры, в общем количестве домохозяйств– 60%
</t>
  </si>
  <si>
    <t>Планового значения достигли следующие показатели:                                                                                          Доля детей в возрасте от 6 до 17 лет (включительно), охваченных всеми формами отдыха и оздоровления, от общей численности детей, нуждающихся в оздоровлении -100%
прошедших оздоровление в организациях отдыха детей и их оздоровления-100%
Доля детей, находящихся в трудной жизненной ситуации, охваченных различными формами отдыха и оздоровления, от общей численности детей, находящихся в трудной жизненной ситуации-100%;
доля детей-воспитанников государственных учреждений автономного округа, охваченных различными формами отдыха и оздоровления -100%;
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 -100%;
Удельный вес получателей государственной социальной помощи по малообеспеченности к числу постоянного населения -100%;
Доля детей из семей с денежными доходами ниже величины прожиточного минимума, установленной в автономном округе, от общей численности детей, проживающих в автономном округе -100%;
Доля использованных средств субсидии, передаваемой из федерального бюджета бюджету автономного округа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родителей-100%;
Доля детей, оставшихся без попечения родителей, и лиц из числа детей, оставшихся без попечения родителей, состоявших на учете на получение жилого помещения, включая лиц в возрасте от 23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-100%;
Численность детей-сирот и детей, оставшихся без попечения родителей, лиц из их числа, право на обеспечение жилыми помещениями у которых возникло и не реализовано, по состоянию на конец соответствующего года -100%;
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 -100%;
оздоровления детей в ходе организации детской оздоровительной кампании -100%;
Уровень удовлетворенности граждан качеством и доступностью предоставляемых учреждениями социального обслуживания социальных услуг -100%;
Доля граждан, обеспеченных мерами социальной поддержки, от численности граждан, имеющих право на их получение -100%;
Доля детей, оставшихся без попечения родителей - 100%;
в том числе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 -98,6%;
Отношение среднемесячной заработной платы социальных работников к среднемесячной заработной плате в автономном округе-100%.</t>
  </si>
  <si>
    <t>Среднемесячная численность безработных, зарегистрированных в органах службы занятости населения автономного округа в январе-декабре снизилась до 3 789 чел. (план на декабрь 6 300 чел.).
Планового значения достигли следующие показатели:
24454 гражданина трудоустроены на временные и общественные работы;
1482 безработных гражданина, направлены на проф. обучение и дополнительное проф. образование;
169 женщин приступили к проф. обучению, дополнительному проф. образованию в период отпуска по уходу за ребенком до достижения им возраста трех лет;
24701 гражданин получили гос. услугу по проф. ориентации; 
2369 безработных граждан, получили гос. услугу по социальной адаптации и психологической поддержке;
767 новых постоянных рабочих мест создано в сфере малого предпринимательства безработными гражданами, зарегистрированными в органах службы занятости населения автономного округа;
143 постоянных (в том числе специальных) рабочих места создано для трудоустройства инвалидов; 
42 постоянных рабочих места создано для трудоустройства одиноких родителей, родителей, воспитывающих детей-инвалидов, многодетных родителей</t>
  </si>
  <si>
    <t xml:space="preserve">Федеральный бюджет - исполнение от плана на год 68,2%. Низкое исполнение объясняется снижением среднемесячной численности получателей социальных выплат. Расчет общего объема субвенций из федерального бюджета на 2014 год был произведен Рострудом РФ от прогнозной среднемесячной численности безработных граждан, получающих социальные выплаты 5 204 человек  (Акт сверки исходных данных Роструда от 10.07.2013г №27/2013). По оперативным данным фактически среднемесячная численность безработных граждан, получающих социальные выплаты, за период январь-декабрь 2014 года составила – 2 960 человек.
Как следствие, снизилась потребность в средствах, запланированных на социальные выплаты. В адрес Роструда были направлены предложения о корректировке объема субвенции федерального бюджета на 2014 год в сторону уменьшения на сумму 115 231,0 тыс.руб. (исх. от 28.08.2014 №АК-16692).                                                                                                                                    Окружной бюджет - исполнение от плана на год, утвержденного Законом о бюджете, составило 99,2% (исполнение от плана, утвержденного гос.программой  - 94,3%). Низкое исполнение за декабрь объясняется тем, что в план декабря включены средства в объеме 7,7 млн. руб., направленных на оптимизацию расходов бюджета. Без учета этих средств исполнение за декабрь составило - 92,0%. </t>
  </si>
  <si>
    <t>Рассмотрено 770 заявлений соотечественников, поступивших из УФМС России по автономному округу для согласования их участия в государственной программе;
Согласовано 672 кандидатуры соотечественников (в 2,9 раза выше уровня запланированного на январь-ноябрь - 193 чел.); 
Количество участников Государственной программы и членов их семей, прибывших на территорию Югры и зарегистрированных УФМС России составило 695 чел. (182 % от план года 382 чел.), из них  342 чел. - участники Государственной программы (141,3% от плана года 242 чел.) и 353 чел. - члены их семей (в 2,5 раза превышает плановую численость 140 чел.)</t>
  </si>
  <si>
    <t>Кассовое освоение средств бюджет автономного округа за  2014 год составило 92,1 %
Выплата компенсации носит заявительный характер. В отчетном периоде за компенсацией обратилось 137 участников Госпрограммы, представивших отчетные документы. Всем 137 гражданам произведены выплаты компенсации расходов по найму жилья.
Не востребованными по Программе остались средства, предусмотренные на выплату участникам Государственной программы компенсации расходов по оплате найма жилья на сумму 9 518,3 тыс. рублей или  1 518,3 тыс. рублей (с учетом оптимизации Программы- 8 млн. рублей). 
2. Кассовое освоение в январе-декабре 2014 года средств ФБ составило 65,1% в связи с поздним зачислением  на лицевой счет (29.12.2014 г.) средств дополнительной субсидии  в рамках соглашения, заключенного с ФМС.
Компенсацию из ФБ получили 11 человек, обратившихся за  компенсацией и представивших отчетные документы (договор найма жилья и документов, подтверждающих произведенные расходы).</t>
  </si>
  <si>
    <t xml:space="preserve">БАО: Отклонение фактического исполнения программы от запланированного в соответствие с Законом о бюджете на 2014 год обусловлено:                                                                                                      - заявительным характером мероприяитя "Обеспечение участия казачьих обществ, как социально ориентированных некоммерческих организаций, в региональных, федеральных и международных мероприятиях по вопросам развития российского казачества" - отклонение 55 тыс. рублей;                                                                          - экономией, сложившейся в результате торгов по мероприятию "Организация курсов повышения квалификации, семинаров, тренингов, инструктажей для сотрудников правоохранительных органов, работников органов управления различного уровня по вопросам государственной национальной политики РФ. Издание методических пособий" - экономия 2 тыс. рублей;                                                                                  - возвратом платежного поручения по мероприятию "Подготовка кадров в сфере формирования установок толерантного сознания и межкультурного воспитания молодежи. Подготовка и издание учебно-методической литературы. Проведение лингвистических и фоноскопических исследований материалов на предмет выявления в них высказываний экстремистской направленности" - отклонение 23,2 тыс. рублей.                                                                                                                                                           ФБ: Отклонение фактического исполнения от планового в 2014 году обусловлено:                                                                             - по мероприятию "Субсидии казачьим обществам на возмещение расходов, связанных с реализацией договоров (соглашений) с органами государственной власти" поздним заключением трехстороннего соглашения о предоставлении субсидии из федерального бюджета автономному округу (связанного с передачей функциий Минрегиона РФ Минкультуры РФ),  перечислением федеральных средств в конце декабря 2014 года и в виду сезонности работ, проведение которых планировалось  в рамках  мероприятия (патрулирование лесов в пожароопасный период) исполнение средств в размере 450,0 тыс. рублей  в 2014 году не представилось возможным;                                                                             - по мероприятию "Организация и проведение ежегодных конкурсов по вопросам формирования культуры толерантности и противодействия ксенофобии, профилактики экстремизма среди образовательных организаций, молодёжных и детских объединений" возвратом платежного поручения на оплату - отклонение 12,8 тыс. рублей. </t>
  </si>
  <si>
    <t>По задаче 1 Программы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Ханты-Мансийском автономном округе – Югре».
Бюджетному учреждению Ханты-Мансийского автономного округа – Югры «Сургутский музыкально-драматический театр» (ДепкультурыЮгры) выделены из федерального бюджета денежные средства в объеме 7 200,0 тыс. рублей. 
Учреждением на выполнение мероприятий по государственной программе были проведены 3 конкурсные процедуры (предыдущие 2 аукциона не состоялись по объективным причинам).
По итогам третьего аукциона со сроком исполнения работ в 2015 году на основании соглашения между Минтрудом России и Правительством Ханты- Мансийского атономного округа - Югры 7200 тыс. руб. будут реализованы в I квартале 2015 года.</t>
  </si>
  <si>
    <t xml:space="preserve">В 2014 году из федерального бюджета  и бюджета автономного округа предоставлены:
- субсидии на строительство тепличного комплекса ОАО «Агрофирма» в д.Ярки Ханты-Мансийского района (инвестиционный проект), за приобретенный племенной молодняк, на разработку проекта по заготовке и переработке дикоросов, на содержание оленей, на компенсацию части процентных ставок по кредитам, на проведение мероприятий направленных на улучшение почв, на завоз семян в районы Крайнего Севера;
- гранты на развитие семейных животноводческих ферм, начинающим фермерам.
Осуществлено финансирование на:
- проведение окружного конкурса оленеводов на Кубок Губернатора автономного округа;
- выпуск ежегодного бюллетеня об итогах работы агропромышленного комплекса за 2013 год.
В соответствии с заявками уполномоченных органов перечислены субвенции муниципальным образованиям на осуществление переданных полномочий.
На 01.12.14 произведено: 11,7 тыс. тонн мяса скота и птицы на убой в хозяйствах всех категорий (в живом весе); 25,2 тыс. тонн молока в хозяйствах всех категорий; 28,1 млн. шт. яиц, что составляет к уровню 2013 года 100,2%; 104,8%; 89,3% соответственно.
Для общественного животноводства заготовлено и завезено из-за пределов автономного округа 10,5 тыс. тонн грубых кормов
</t>
  </si>
  <si>
    <t xml:space="preserve">Планового значения достигли следующие показатели:
- количество пользователей ТТП из числа коренных малочисленных народов и лиц, не относящихся к коренным малочисленным народам, но ведущих традиционные виды хозяйственной деятельности составило 4 266 чел.;
- количество национальных общин и предприятий, вовлеченных в туристскую деятельность этнографической направленности составило 10 ед.;
- число созданных рабочих мест в рамках реализации проектов в сфере развития традиционных видов деятельности и этнографического туризма составило 10 ед.;
- количество национальных общин и предприятий, осуществляющих традиционное хозяйствование и занимающихся традиционными промыслами коренных малочисленных народов составило 96 ед.;
- количество граждан из числа коренных малочисленных народов, получивших среднее  профессиональное и высшее образование при предоставлении им государственной поддержки составило 100 чел.
В сфере образования общее число получателей мер государственной поддержки составило 713 обучающихся.                                                                                                                                                                                                                                                                                   Предоставлена грантовая поддержка в сфере сохранения, развития и популяризации традиционной культуры 6 проектам.
Присуждена премия Правительства АО им. И.Н. Шесталова: 1 детскому коллективу, 2 физ. лицам.                                                                                                                                                                                                                                                                                                                                       В сфере традиционного хозяйствования предоставлены меры поддержки 18 организациям и 75 физ. лицам, ведущим традиционный образ жизни, оказана финансовая помощь на обустройство быта 20 молодым специалистам 
</t>
  </si>
  <si>
    <t xml:space="preserve">Планового значения достигли следующие показатели:  
- 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41,2 %;
- доля парка подвижного состава автомобильного и городского транспорта общего пользования, оборудованного для перевозки маломобильных групп населения, в парке этого подвижного состава- 34%;
- доля учреждений профессионального образования, в которых сформирована универсальная безбарьерная среда, позволяющая обеспечить совместное обучение инвалидов и лиц, не имеющих нарушений развития, в общем количестве учреждений профессионального образования – 9%;
- доля лиц с ограниченными возможностями здоровья и инвалидов от 6 до 18 лет, систематически занимающихся физической культурой и спортом, в общей численности данной категории населения – 14,5%;
- доля профессиональных образовательных организаций, здания которых приспособлены для обучения лиц с ограниченными возможностями здоровья, в общем числе соответствующих организаций– 10,5%;
- 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50,8%;
- доля инвалидов, положительно оценивающих отношение населения к проблемам инвалидов, в общей численности опрошенных инвалидов – 40%
</t>
  </si>
  <si>
    <t xml:space="preserve">Планового значения достигли следующие показатели:
- доля библиотечных фондов, отраженных в электронных каталогах составила 87%;
- доля музейных предметов и музейных коллекций, отраженных в электронных каталогах - 76%;
- прирост количества выставочных проектов, организованных в автономном округе по отношению к 2012 году - 44%;
- число посещений веб-сайтов Государственной библиотеки Югры удаленными пользователями – 296 тыс. чел.;
- среднее число посещений государственных музеев автономного округа на 1 000 жителей - 2,6 тыс. чел.;
- объем баз данных Государственной библиотеки Югры собственной генерации, в том числе электронных каталогов – 653,0 тыс. записей;
 - доля музейных предметов, внесенных в электронный каталог, от общего музейного фонда государственных музеев автономном округе - 86%;
- доля оцифрованных музейных предметов, представленных в сети Интернет, от общего числа музейных предметов основного фонда государственных музеев автономном округе - 15%;
- 64 выдающихся деятеля культуры и искусства, молодых талантливых авторов, удостоены мер государственной поддержки (гранты, премии, стипендии);
- объем оказанных платных туристических услуг - 884,4 млн. рублей;
- объем платных услуг, оказанных гостиницами и аналогичными средствами размещения – 2 075,3 млн. рублей;
- количество кинозрителей, посетивших публичные киномероприятия, организованные государственными кинопрокатными организациями - 241,8 тыс. чел.;
- количество зрителей театрально-концертных мероприятий, проводимых государственными театрами и концертными организациями - 231,1 тыс. чел.
</t>
  </si>
  <si>
    <t xml:space="preserve">Перевыполнение плана по окружному бюджету в декабре 2014 года объясняется следующим: оплата в размере 61 269,3 тыс. рублей, произведенных  строительно-монтажных работ запланирвоаннная на ноябрь в связи с изменения реквизитов в платежном поручении прошла 02.12.2014 </t>
  </si>
  <si>
    <t xml:space="preserve"> По бюджетам муниципальных образований  отклонение плановых назначений от фактических по денежным средствам местного бюджета сложилось по причине образовавшейся экономии по Сургутскому району в размере 16,7 тыс.руб., из них: в результате проведения торгов образовалась экономия в размере 4,6 тыс.руб., предусмотренных на празднование юбилея г.п. Лянтор, г.п. Барсово, с.п. Нижнесортымский; в результате не состоявшегося аукциона образовалась экономия в размере 5,0 тыс.руб., предусмотренных на празднование юбилея с.п. Русскинская; в результате того, что контрактом было предусмотрено окончание работ в сентябре 2015 года образовалась экономия в г.п. Белый Яр в размере 7,1 тыс.руб.                                                                 за декабрь - отклонение плановых назначений средств местного бюджета от фактических связано с поздним предоставлением информации от ответственного соисполнителя программы (Департамента внутренней политики автономного округа), изменения в сетевой график не были осуществлены.
</t>
  </si>
  <si>
    <t>ФБ</t>
  </si>
  <si>
    <t>мо</t>
  </si>
  <si>
    <t>сотр</t>
  </si>
  <si>
    <t>пр</t>
  </si>
  <si>
    <r>
      <rPr>
        <i/>
        <sz val="10"/>
        <rFont val="Times New Roman"/>
        <family val="1"/>
      </rPr>
      <t>в том числе</t>
    </r>
    <r>
      <rPr>
        <sz val="10"/>
        <rFont val="Times New Roman"/>
        <family val="1"/>
      </rPr>
      <t xml:space="preserve"> привлеченные средства от хозяйствующих субъектов, осуществляющих деятельность на территории автономного округа</t>
    </r>
  </si>
  <si>
    <r>
      <rPr>
        <b/>
        <sz val="11"/>
        <rFont val="Times New Roman"/>
        <family val="1"/>
      </rPr>
      <t xml:space="preserve">Бюджет автономного округа </t>
    </r>
    <r>
      <rPr>
        <sz val="11"/>
        <rFont val="Times New Roman"/>
        <family val="1"/>
      </rPr>
      <t xml:space="preserve">исполнение 71,3 % не исполнено 91 627,7 тыс. рублей, </t>
    </r>
    <r>
      <rPr>
        <b/>
        <sz val="11"/>
        <rFont val="Times New Roman"/>
        <family val="1"/>
      </rPr>
      <t>местный бюджет</t>
    </r>
    <r>
      <rPr>
        <sz val="11"/>
        <rFont val="Times New Roman"/>
        <family val="1"/>
      </rPr>
      <t xml:space="preserve"> исполнение 16,3%, не исполнено 6 121,5 тыс. рублей по причине несвоевременного финансирования мероприятий по капитальному строительству:
- по объекту поликлиника «Нефтянник на 700 посещений в смену» г.Сургут не исполнение 49 570,3 тыс. рублей, в связи с несвоевременной подачей теплоносителя на теплопотребляющие установки объекта генподрядной организацией ООО СК «СОК» в октябре-ноябре 2014 года частично не выполнены работы;
- по объекту «Больница восстановительного лечения 2-я очередь первый пусковой комплекс» г.Урай не исполнение 11 062,5 тыс. рублей, в связи с несвоевременным выполнением работ подрядной организацией ООО «Мегаспецстрой»;
- по объекту «Участковая больница на 25 коек и поликлиника на 85 посещений в смену» п.г.т Талинка Октябрьского района не исполнено 15 000 тыс. рублей по причине несвоевременного исполнения условий предоставления субсидий из бюджета округа (неисполнение обязательств по финансированию объекта из местного бюджета). На сегодняшний день муниципальным образованием обязательства исполнены. 
- по объекту «Реконструкция больничного комплекса на 235 коек и 665 посещений в смену» (2-3-я очередь) г. Советский не исполнено 15 994,9 тыс. рублей, ведется комплектация оборудованием (поставка из-за границы). Финансирование будет осуществлено по факту поставки оборудования в начале декабря.
Финансирование по всем объектам в полном объеме ожидается в декабре 2014 года</t>
    </r>
  </si>
  <si>
    <r>
      <rPr>
        <b/>
        <sz val="11"/>
        <rFont val="Times New Roman"/>
        <family val="1"/>
      </rPr>
      <t>Привлеченные средства</t>
    </r>
    <r>
      <rPr>
        <sz val="11"/>
        <rFont val="Times New Roman"/>
        <family val="1"/>
      </rPr>
      <t xml:space="preserve"> исполнение 80,6%, в связи заявочным принципом реализации мероприятия 3.2. "Финансовая поддержка Субъектов" </t>
    </r>
  </si>
  <si>
    <t>Муниципальная программа Нижневартовского района</t>
  </si>
  <si>
    <t xml:space="preserve">Ответственный исполнитель муниципальной программы </t>
  </si>
  <si>
    <t xml:space="preserve">Результаты реализации муниципальной программы
на 1 января 2015 года
(достижение основных целевых показателей)
план/факт
</t>
  </si>
  <si>
    <t>Муниципальная программа «Развитие образования в Нижневартовском районе на 2014–2020 годы»</t>
  </si>
  <si>
    <t>Постановление от 02.12.13 №2554 (в редакции от 30.12.14 №2682)</t>
  </si>
  <si>
    <t xml:space="preserve">Управление образования и молодежной политики администрации района             </t>
  </si>
  <si>
    <t>бюджет поселений</t>
  </si>
  <si>
    <t xml:space="preserve">иные внебюджетные источники  </t>
  </si>
  <si>
    <t xml:space="preserve">Муниципальная программа
«Молодежь Нижневартовского района на 2014–2016 го-ды»
</t>
  </si>
  <si>
    <t xml:space="preserve">Управление образования и молодежной политики администрации района        </t>
  </si>
  <si>
    <t>Постановление от 02.12.13 № 2551 (в редакции от 30.12.14 №2679)</t>
  </si>
  <si>
    <t>Управление по вопросам социальной сферы администрации района</t>
  </si>
  <si>
    <t>Постановление от 02.12.13 № 2560 (в редакции от 18.12.14 № 2591)</t>
  </si>
  <si>
    <t xml:space="preserve">Муниципальная программа
«Доступная среда в Нижневартовском районе на 2014–2016 годы»
</t>
  </si>
  <si>
    <t>Постановление от27.11.13 № 2507 (в ред. от 21.10.14 №2138)</t>
  </si>
  <si>
    <t>Управление культуры администрации района</t>
  </si>
  <si>
    <t xml:space="preserve">Муниципальная программа
«Развитие физической культуры и спорта в Нижневартовском районе на 2014−2020 годы»
</t>
  </si>
  <si>
    <t>Постановление от 27.11.13 № 2508 (в ред. от 05.12.14 №2497)</t>
  </si>
  <si>
    <t>Постановление от 25.11.13 № 2489 (в редакции от 20.11.14 №2377)</t>
  </si>
  <si>
    <t xml:space="preserve">отдел по физической культуре и спорту администрации района </t>
  </si>
  <si>
    <t xml:space="preserve">Муниципальная программа
«Развитие агропромышленного комплекса и рынков сельскохозяйственной продукции, сырья и продовольствия в Нижневартовском районе в 2014−2020 годах» 
</t>
  </si>
  <si>
    <t>Постановление от 02.12.13 № 2548 (в редакции от 30.12.14 №2678)</t>
  </si>
  <si>
    <t>Отдел местной промышленности и сельского хозяйства администрации района</t>
  </si>
  <si>
    <t>Постановление от 27.11.13 № 2505 (в редакции от 30.12.14 №2681)</t>
  </si>
  <si>
    <t xml:space="preserve">Муниципальная программа
«Обеспечение доступным и комфортным жильем жителей Нижневартовского района в 2014–2020 годах» 
</t>
  </si>
  <si>
    <t>Отдел жилищно-коммунального хозяйства, энергетики и строительства администрации района</t>
  </si>
  <si>
    <t>Постановление от 02.12.13 № 2552 (в редакции от 09.12.14 № 2520)</t>
  </si>
  <si>
    <t xml:space="preserve">Муниципальная программа
«Развитие жилищно-коммунального комплекса и повы-шение энергетической эффективности в Нижневартов-ском районе на 2014–2020 годы» 
</t>
  </si>
  <si>
    <t>Постановление от02.12.13 № 2553 (в редакции от 30.12.14 №2675)</t>
  </si>
  <si>
    <t xml:space="preserve">Муниципальная программа
«Профилактика правонарушений в сфере общественного порядка в Нижневартовском районе на 2014−2016годы»
</t>
  </si>
  <si>
    <t>Отдел по вопросам общественной безопасности администрации рай-она</t>
  </si>
  <si>
    <t xml:space="preserve">Постановление от 02.12.13 № 2542 (в редакции  от 04.12.14 №2496) </t>
  </si>
  <si>
    <t>Муниципальное казенное учреждение Нижневартовского района «Управление по делам гражданской обороны и чрезвычайным ситуа-циям»</t>
  </si>
  <si>
    <t xml:space="preserve">Постановление от 02.12.13 № 2565(в редакции  от 09.12.14 №2521) </t>
  </si>
  <si>
    <t xml:space="preserve">Муниципальная программа
«Обеспечение экологической безопасности в Нижневар-товском районе на 2014−2020 годы»
</t>
  </si>
  <si>
    <t>Управление экологии и природопользования администрации района</t>
  </si>
  <si>
    <t xml:space="preserve">Муниципальная программа
«Развитие малого и среднего предпринимательства в Нижневартовском районе на 2014−2020 годы» 
</t>
  </si>
  <si>
    <t>Постановление от 27.11.13 № 2506 (в редакции от 25.12.14 №2664)</t>
  </si>
  <si>
    <t xml:space="preserve">Муниципальная программа
«Информационное общество Нижневартовского района на 2014−2016 годы» 
</t>
  </si>
  <si>
    <t>Отдел по информатизации и сетевым ресурсам администрации района</t>
  </si>
  <si>
    <t>Постановление от 02.12.13 № 2550 (в редакции от 15.12.14  № 2569)</t>
  </si>
  <si>
    <t xml:space="preserve">Муниципальная программа
«Развитие транспортной системы Нижневартовского района на 2014−2020 годы» 
</t>
  </si>
  <si>
    <t>Отдел транспорта и связи администрации района</t>
  </si>
  <si>
    <t>Постановление от 02.12.13 № 2562 (в редакции от 10.10.14 №2055)</t>
  </si>
  <si>
    <t>Постановление от 02.12.13 № 2561 (в редакции от 30.12.14 №2673)</t>
  </si>
  <si>
    <t xml:space="preserve">Муниципальная программа
«Развитие гражданского общества Нижневартовского района на 2014−2016 годы» 
</t>
  </si>
  <si>
    <t>Управление организации деятельности администрации района</t>
  </si>
  <si>
    <t>Постановление от 22.11.13 № 2478(в редакции  от 15.10.14 №2083)</t>
  </si>
  <si>
    <t xml:space="preserve">Муниципальная программа
«Профилактика экстремизма, гармонизация межэтниче-ских и межкультурных отношений в Нижневартовском районе на 2014−2016 годы» 
</t>
  </si>
  <si>
    <t xml:space="preserve">Муниципальная программа
«Управление муниципальным имуществом на территории Нижневартовского района на 2014-2017 годы»
</t>
  </si>
  <si>
    <t>Постановление от 02.12.13 № 2543 (в редакции от 24.10.14 №2167)</t>
  </si>
  <si>
    <t>Служба муниципальной собственности администрации района</t>
  </si>
  <si>
    <t>Постановление от 02.12.13 № 2549 (в редакции от 05.11.14 №2215)</t>
  </si>
  <si>
    <t xml:space="preserve">Муниципальная программа:
«Развитие муниципальной службы и резерва управленче-ских кадров в Нижневартовском районе на 2014–2016 годы»
</t>
  </si>
  <si>
    <t>Отдел муниципальной службы и кадров администрации района</t>
  </si>
  <si>
    <t>бюджет района</t>
  </si>
  <si>
    <t xml:space="preserve">
</t>
  </si>
  <si>
    <t>бюджета района</t>
  </si>
  <si>
    <t>Планового значения достигли все показатели предусмотренные программой:
3714чел.получили единовременные материальные выплаты к праздничным и знаменательным датам;
4000чел.  получили социальную  поддержку из бюджета района в виде бесплатной подписки на районную газету «Новости Приобья»;
20 неработающих пенсионеров, отработавших 10 и более лет на территории района, не включенных в региональный регистр получателей мер социальной поддержки, получили санаторно-курортные путевки; 
130чел. получили единовременную материальную  помощь в связи с трудной, экстремальной  жизненной ситуацией либо чрезвычайной ситуацией.</t>
  </si>
  <si>
    <t>Планового значения достигли следующие показатели: 
1631 чел.  временно трудоустроенных и профессионально самоопределившихся подростков и молодых людей; 
3100 чел. вовлечены в общественные объединения; 
1 900 чел. приняли участие в добровольческой деятельности; 
40 чел., оказавшихся в трудной жизненной ситуации, вовлечены в программы и проекты социализации;
29 социально-значимых молодежных проекта приняли участие в окружных конкурсах;
8700 чел. привлечено к участию в мероприятиях по основным направлениям реализации молодежной политики;
380 чел. входят в состав  14 волонтерских отрядов и движений</t>
  </si>
  <si>
    <t xml:space="preserve">Муниципальная программа
«Социальная поддержка жителей Нижневартовского района на 2014−2016 годы» 
</t>
  </si>
  <si>
    <t xml:space="preserve">Планового значения достигли все показатели предусмотренные программой:
95% уровень доступности к образовательным учреждениям посредством сооружения и обустройства входных групп, пандусов, поручней  ;
95% уровень доступности учреждений культуры для маломобильных групп населения;
75% уровень доступности к   учреждениям физической культуры и спорта посредством сооружения и обустройства входных групп, лифтов, пандусов, поручней .
</t>
  </si>
  <si>
    <t xml:space="preserve">Муниципальная программа
«Развитие культуры и туризма в Нижневартовском районе на 2014−2020 годы»
</t>
  </si>
  <si>
    <t>Планового значения достигли следующие показатели:
1071тонн произведено продукции мясо  скота и птицы на убой в хозяйствах всех категорий (в живом весе); 
1517тонн произведено молока;
57,7тонн  объема заготовки дикоросов;                                                                               108 тонн произведено продукции хлебопечения в удаленных труднодоступных сельских территориях;                                                                                                                            В 2014 году за счет средств бюджета автономного округа  выплачены субсидии на поддержку растениеводства – 3 КФХ  ,на поддержку животноводства (производство молока и мяса)  - 19 КФХ ,на поддержку рыболовства и рыбопереработки – 3 предприятиям ,на содержание маточного поголовья животных в личных подсобных хозяйствах-131ЛПХ,на переработку дикоросов – 1 предприятию.</t>
  </si>
  <si>
    <t>Планового значения достигли следующие показатели:
277 чел. участников  добровольных    общественных формирований;
490шт.профилактических мероприятий, проведенно общественными формированиями; 
4123  жителя района, приняло участие в профилактических мероприятиях;
143 шт. профилактических мероприятий,проведено для различных категорий населения района;
31шт. добровольных  общественных формирований в сфере охраны  общественного порядка;
Установлены системы видеонаблюдения в городских поселениях Излучинск и Новоаганск.</t>
  </si>
  <si>
    <t xml:space="preserve">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t>
  </si>
  <si>
    <t xml:space="preserve">Планового значения достигли все показатели предусмотренные программой.
335ед.проведено природоохранных, эколого-просветительских и эколого-образовательных мерпориятий;
25ед.выходов в эфир телевизионных  передач, репортажей, видеороликов;
21 ед.выпущенных печатных изданий и публикаций в средствах массовой информации;
33 ед.ликвидированно и рекультивированно мест захламления отходами;
Выполнено строительство площадок временного хранения твердых бытовых отходов в населенных пунктах Нижневартовского района д. Соснина, д. Пасол, с. Былино, д. Вампугол;
Ведутся работы по проектированию полигона строительных отходов и древесины в п. Ваховск.
</t>
  </si>
  <si>
    <t xml:space="preserve">Планового значения достигли все показатели предусмотренные программой:
1634 ед.количество субъектов предпринимательства;
14234,6 млн.руб.оборот продукции малых (микро) и средних предприятий;
2,2% составил  прирост количества субъектов малого и среднего предпринимательства;
2,2 % увеличился оборот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
Выплачено 15 видов субсидий 50 субъектам предпринимательства.
</t>
  </si>
  <si>
    <t xml:space="preserve">Планового значения достигли все показатели предусмотренные программой:
6 ед.информационных систем и объектов информатизации, аттестованных в соответствии с требованиями по информационной безопасности;
309 тыс.ед. посещений официальных веб-сайтов органов местного самоуправления района;
50% граждан района, используют механизм получения муниципальных услуг в электронной форме;
145ед.муниципальных услуг, оказываемых населению района в электронном виде;
9250 ед. выполненных работ по автоматизации, информационному и техническому обеспечению деятельности органов местного самоуправления.
</t>
  </si>
  <si>
    <t xml:space="preserve">Планового значения достигли все показатели предусмотренные программой:
584шт.мероприятий проведено для различных категорий населения района, направленных на укрепление толерантности, гармонизацию межэтнических и межкультурных отношений и профилактику экстремизма;
57,79% населения района, охваченно мероприятиями, направленными на укрепление толерантности, гармонизацию межэтнических и межкультурных отношений и профилактику экстремизма;
20805чел.жителей района, приняло участие в мероприятиях, направленных на укрепление толерантности, гармонизацию межэтнических и межкультурных отношений и профилактику экстремизма.
</t>
  </si>
  <si>
    <t>Планового значения достигли все показатели предусмотренные программой:
5350 чел.перевезено воздушным транспортом;
53,16тонн груза  перевезено воздушным транспортом;
11783чел.перевезено пассажиров водным транспортом;
8,79 тыс.кв.м.площадь отремонтированной проезжей части автодорог;
4 ед. транспорта приобретено в муниципальную собственность.                                       В стадии завершения проектно-изыскательские  работы по объекту «Реконструкция подъездной автомобильной дороги к с. Большетархово».</t>
  </si>
  <si>
    <t>Планового значения достигли следующие показатели предусмотренные программой:
50 объектов муниципальной собственности, обеспеченны технической документацией;
250ед. объектов муниципального имущества, в отношении которых проведена оценка рыночной стоимости;
64%  многоквартирных домов, расположенных на земельных участках, в отношении которых осуществлен государственный кадастровый учет;
48 объектов, дополнительно вовлеченных в хозяйственный оборот;
100% снижение материального ущерба от чрезвычайных ситуаций природного и техногенного характера, за счет внедрения  механизма страхования муниципального имущества .</t>
  </si>
  <si>
    <t xml:space="preserve">Планового значения достигли все показатели предусмотренные программой:
548 ед.  приобретено средств индивидуальной защиты, необходимый запас (резерв)для работников администрации муниципальных предприятий и учреждений района; 
69 источниками противопожарного водоснабжения обеспеченны населенные пункты района;
11500шт.изготовлено и распостранено полиграфической продукции по предотвращению чрезвычайных происшествий;
61шт. изготовлено продукции по агитации и пропаганде безопасности людей на воде ;  
12чел.повысили уровень  знаний в области гражданской обороны и чрезвычайных ситуаций; 
22чел.жителя района привлечено к участию  в обеспечении пожарной безопасности в сельских населенных пунктах района не являющихся муниципальными образованиями. </t>
  </si>
  <si>
    <t>Планового значения достигли практически все показатели предусмотренные программой:
91,8% обеспеченность населения централизованными услугами теплоснабжения;
91,1% обеспеченность  населения централизованными услугами водоснабжения;
72%  площади жилищного фонда, обеспеченного всеми видами благоустройства, в общей площади жилищного фонда;
30,8% уровень газификации котельных;
42,6% благоустроенных дворовых территорий многоквартирных домов в общем количестве дворовых территорий, предусмотренных к благоустройству.
Завершено строительство канализационных очистных сооружений в с. Ларьяк;                                                                                                                              Выполнена  замена сетей с применением новых технологий 6,93 км тепловых, что составляет 5,5% от общей протяженности и 7,8 км водяных, что составляет 6,2% от общей протяженности сетей, в населенных пунктах Излучинск, Зайцева Речка, Покур, Ваховск, Ларьяк, Корлики, Варьеган, Новоаганск.</t>
  </si>
  <si>
    <t>Планового значения достигли следующие показатели: 
76% библиотечных фондов, отраженно в электронных каталогах  ;
43,8% музейных предметов и музейных коллекций, отраженно в электронных каталогах;
35,6% прирост количества выставочных проектов, осуществляемых в Нижневартовском районе, к уровню  2011 года ;
255907 чел. посетили культурно-досуговые мероприятия, организованные муниципальными культурно-досуговыми учреждениями;
497чел. участвовало в региональных общероссийских конкурсах, фестивалях
Ведутся ремонтно-реставрационные работы на объекте «Усадьба П.А. Кайдалова в составе Дом П.А. Кайдалова, амбар.</t>
  </si>
  <si>
    <t xml:space="preserve">Планового значения достигли следующие показатели: 
84 чел.  приняли участие в региональном этапе Всероссийских спортивных соревнований школьников «Президентские состязания» и «Президентские спортивные игры»; 
18 выпускникам выплачены премии получившим аттестаты с отличием и медали; 
100% уровень   обеспеченности местами в детских садах детей в возрасте от 3-х до 7-ми лет;
97% учащихся и воспитанников охвачены дополнительными образовательными программами ;
2056 чел. оздоровлено детей и подростков на территории района;
3440шт.листовок выпущенно по безопасности дорожного движения и предупреждению детского дорожно-транспортного травматизма;
10 мероприятий, проведено по профилактике употребления наркотических, психоактивных веществ, алкоголя;
введен детский сад в пгт.Излучинск на 260 мест.
</t>
  </si>
  <si>
    <t xml:space="preserve">Планового значения достигли следующие  показатели:
24835 кв.м. введено жилья;
93% жилья, соответствует стандартам экономкласса, в общем объеме введенного жилья;
11 шт.-предельное количество процедур, необходимо для получения разрешения на строительство эталонного объекта капитального строительства непроизводственного назначения;
14%  молодых семей, улучшили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98 дней 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16  семей, переселенно из населенного пункта (д. Пугъюг)  с низкой плотностью населения и труднодоступной местностью,                                                                       Снесено   74 строения  приспособленных для проживания                                                                                                   Выполнено строительство инженерных сетей объекта  «Инженерные сети участка частной застройки (2 очередь 1 этап) в пгт. Излучинск».                     </t>
  </si>
  <si>
    <t xml:space="preserve">Планового значения достигли все показатели предусмотренные программой:
12510 чел.  систематически занимаются физической культурой и спортом;
467спортсменов района, приняло участие в официальных окружных, всероссийских и международных соревнованиях по видам спорта;                                                             317медалей, завоевано спортсменами района на официальных окружных, всероссийских и международных соревнованиях
Ведется строительство 2 объектов спорта:" Крытого хоккейного корта в пгт.Излучинск","Строительство(реконструкция) 5 блока муниципальной общеобразовательной многопрофильной средней школы № 1 в пгт. Излучинске (водно-оздоровительный комплекс)" .                                                        </t>
  </si>
  <si>
    <t xml:space="preserve">Муниципальная программа
«Социально-экономическое развитие коренных малочисленных народов Севера Нижневартовского района на 2014−2017 годы» 
</t>
  </si>
  <si>
    <t>Планового значения достигли все показатели предусмотренные программой:
89чел. муниципальных служащих, прошли  обучение на курсах повышения квалификации;
26чел. муниципальных служащих администрации района, приняли участие в тематических семинарах по актуальным темам.
35 человек из числа лиц, включенных в резерв управленческих кадров муниципальных учреж-дений и предприятий района прошли обучение на курсах повышения квалификации.</t>
  </si>
  <si>
    <t>Постановление от 25.11.13 № 2490 (в редакции  от 08.04.14 № 664, 
от 14.08.14 № 1605, от 06.10.2014 № 2008,от 15.12.14 №2570)</t>
  </si>
  <si>
    <t>Планового значения достигли все показатели предусмотренные программой:
940чел. участвовали в сохранении и возрождении традиционной культуры,народных промыслов,традиций ; 
55 шт.  приобретено  поголовья оленей;
2364 талонов выдано на льготный проезд и направлений на бесплатное расселение в гостиницах;
70 шт. создано рабочих мест в рамках реализации проектов в сфере развития традиционных видов деятельности;
8  национальных общин осуществляют традиционное хозяйствование и занимаются традиционными промыслами.</t>
  </si>
  <si>
    <t>Планового значения достигли все показатели предусмотренные программой:
35 социально ориентированных некоммерческих организаций, осуществляют свою деятельность на территории района, включенно в муниципальный реестр социально ориентированных некоммерческих организаций – получателей поддержки администрации района ;
85 публикаций в средствах массовой информации района о деятельности некоммерческих организаций и институтов гражданского общества;
9 социально ориентированных некоммерческих организаций, осуществляющих свою деятельность на территории района, получили финансовую поддержку;
12 социально ориентированных некоммерческих организаций, осуществляющих свою деятельность на территории района, получили имущественную поддержку;
40шт. проведено социально ориентированными некоммерческими организациями социально значимых мероприятий.</t>
  </si>
  <si>
    <t>Объем финансирования на 2014 год (в соответствии с Решением Думы района  о бюджете  на 2014 год №411 от 03.12.13 г.,с учетом   изменений)                                       тыс. рублей</t>
  </si>
  <si>
    <t>План мероприятий («дорожная карта») по реализации Стратегии социально-экономического развития Нижневартовского района до 2020 года и на период до 2030 года</t>
  </si>
  <si>
    <t>Решение Думы района от 15.10.2014 №561</t>
  </si>
  <si>
    <t xml:space="preserve">Отчет о ходе реализации муниципальных программ района в 2014 году, </t>
  </si>
  <si>
    <t>соответсвующих Стратегии социально-экономического развития Нижневартовского района до 2020 года и на период до 2030 года, утвержденной решением Думы района от 15.10.2014 №561</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</si>
</sst>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_-* #,##0.0_р_._-;\-* #,##0.0_р_._-;_-* &quot;-&quot;??_р_._-;_-@_-"/>
    <numFmt numFmtId="175" formatCode="#,##0.0_ ;\-#,##0.0\ "/>
    <numFmt numFmtId="176" formatCode="_-* #,##0.0_р_._-;\-* #,##0.0_р_._-;_-* &quot;-&quot;?_р_._-;_-@_-"/>
    <numFmt numFmtId="177" formatCode="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_р_."/>
    <numFmt numFmtId="184" formatCode="#,##0_ ;\-#,##0\ "/>
    <numFmt numFmtId="185" formatCode="0.0%"/>
    <numFmt numFmtId="186" formatCode="#,##0.00_ ;\-#,##0.00\ "/>
    <numFmt numFmtId="187" formatCode="#,##0.0000"/>
    <numFmt numFmtId="188" formatCode="0.0000"/>
    <numFmt numFmtId="189" formatCode="#,##0.00000"/>
    <numFmt numFmtId="190" formatCode="#,##0.000000"/>
    <numFmt numFmtId="191" formatCode="#,##0.0000000"/>
    <numFmt numFmtId="192" formatCode="#,##0.000_ ;\-#,##0.000\ "/>
    <numFmt numFmtId="193" formatCode="#,##0.00000_ ;\-#,##0.00000\ "/>
    <numFmt numFmtId="194" formatCode="#,##0.000000_ ;\-#,##0.000000\ "/>
    <numFmt numFmtId="195" formatCode="#,##0.0;[Red]\-#,##0.0"/>
    <numFmt numFmtId="196" formatCode="#,##0.0;[Red]\-#,##0.0;0.0"/>
    <numFmt numFmtId="197" formatCode="#,##0.0000000_ ;\-#,##0.0000000\ "/>
    <numFmt numFmtId="198" formatCode="#,##0.00000000_ ;\-#,##0.00000000\ "/>
    <numFmt numFmtId="199" formatCode="#,##0.0_ ;[Red]\-#,##0.0\ "/>
  </numFmts>
  <fonts count="57">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i/>
      <sz val="10"/>
      <name val="Times New Roman"/>
      <family val="1"/>
    </font>
    <font>
      <sz val="11"/>
      <name val="Times New Roman"/>
      <family val="1"/>
    </font>
    <font>
      <u val="single"/>
      <sz val="11"/>
      <color indexed="12"/>
      <name val="Calibri"/>
      <family val="2"/>
    </font>
    <font>
      <u val="single"/>
      <sz val="11"/>
      <color indexed="36"/>
      <name val="Calibri"/>
      <family val="2"/>
    </font>
    <font>
      <sz val="10"/>
      <color indexed="10"/>
      <name val="Times New Roman"/>
      <family val="1"/>
    </font>
    <font>
      <b/>
      <sz val="11"/>
      <name val="Times New Roman"/>
      <family val="1"/>
    </font>
    <font>
      <sz val="10"/>
      <color indexed="62"/>
      <name val="Times New Roman"/>
      <family val="1"/>
    </font>
    <font>
      <b/>
      <i/>
      <sz val="10"/>
      <name val="Times New Roman"/>
      <family val="1"/>
    </font>
    <font>
      <sz val="8"/>
      <name val="Times New Roman"/>
      <family val="1"/>
    </font>
    <font>
      <sz val="9"/>
      <name val="Tahoma"/>
      <family val="0"/>
    </font>
    <font>
      <b/>
      <sz val="9"/>
      <name val="Tahoma"/>
      <family val="0"/>
    </font>
    <font>
      <b/>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57"/>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bottom style="thin"/>
    </border>
    <border>
      <left/>
      <right style="thin"/>
      <top style="thin"/>
      <bottom style="thin"/>
    </border>
    <border>
      <left/>
      <right/>
      <top style="thin"/>
      <bottom/>
    </border>
    <border>
      <left style="thin"/>
      <right/>
      <top style="thin"/>
      <bottom/>
    </border>
    <border>
      <left>
        <color indexed="63"/>
      </left>
      <right style="thin"/>
      <top>
        <color indexed="63"/>
      </top>
      <bottom>
        <color indexed="63"/>
      </bottom>
    </border>
    <border>
      <left/>
      <right/>
      <top/>
      <bottom style="thin"/>
    </border>
    <border>
      <left style="thin"/>
      <right/>
      <top/>
      <bottom style="thin"/>
    </border>
    <border>
      <left style="thin"/>
      <right>
        <color indexed="63"/>
      </right>
      <top>
        <color indexed="63"/>
      </top>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9"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52" fillId="31" borderId="0" applyNumberFormat="0" applyBorder="0" applyAlignment="0" applyProtection="0"/>
  </cellStyleXfs>
  <cellXfs count="561">
    <xf numFmtId="0" fontId="0" fillId="0" borderId="0" xfId="0" applyFont="1" applyAlignment="1">
      <alignment/>
    </xf>
    <xf numFmtId="173" fontId="4" fillId="0" borderId="10" xfId="0" applyNumberFormat="1" applyFont="1" applyFill="1" applyBorder="1" applyAlignment="1" applyProtection="1">
      <alignment horizontal="right" vertical="center"/>
      <protection locked="0"/>
    </xf>
    <xf numFmtId="173" fontId="53" fillId="32" borderId="10" xfId="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wrapText="1"/>
      <protection locked="0"/>
    </xf>
    <xf numFmtId="173" fontId="53" fillId="32" borderId="11" xfId="0" applyNumberFormat="1" applyFont="1" applyFill="1" applyBorder="1" applyAlignment="1" applyProtection="1">
      <alignment horizontal="right" vertical="center"/>
      <protection locked="0"/>
    </xf>
    <xf numFmtId="173" fontId="53" fillId="32" borderId="10" xfId="0" applyNumberFormat="1" applyFont="1" applyFill="1" applyBorder="1" applyAlignment="1" applyProtection="1">
      <alignment horizontal="right" vertical="center"/>
      <protection locked="0"/>
    </xf>
    <xf numFmtId="2" fontId="54" fillId="32" borderId="0" xfId="0" applyNumberFormat="1" applyFont="1" applyFill="1" applyAlignment="1" applyProtection="1">
      <alignment horizontal="left" vertical="center"/>
      <protection locked="0"/>
    </xf>
    <xf numFmtId="0" fontId="53" fillId="32" borderId="0" xfId="0" applyFont="1" applyFill="1" applyAlignment="1" applyProtection="1">
      <alignment horizontal="center" vertical="center"/>
      <protection locked="0"/>
    </xf>
    <xf numFmtId="0" fontId="53" fillId="32" borderId="0" xfId="0" applyFont="1" applyFill="1" applyBorder="1" applyAlignment="1" applyProtection="1">
      <alignment horizontal="center" vertical="center"/>
      <protection locked="0"/>
    </xf>
    <xf numFmtId="0" fontId="54" fillId="32" borderId="0" xfId="0" applyFont="1" applyFill="1" applyBorder="1" applyAlignment="1" applyProtection="1">
      <alignment horizontal="center" vertical="center"/>
      <protection locked="0"/>
    </xf>
    <xf numFmtId="0" fontId="53" fillId="32" borderId="0" xfId="0" applyFont="1" applyFill="1" applyBorder="1" applyAlignment="1" applyProtection="1">
      <alignment horizontal="left" vertical="center"/>
      <protection locked="0"/>
    </xf>
    <xf numFmtId="178" fontId="53" fillId="32" borderId="0" xfId="0" applyNumberFormat="1" applyFont="1" applyFill="1" applyAlignment="1" applyProtection="1">
      <alignment vertical="center"/>
      <protection locked="0"/>
    </xf>
    <xf numFmtId="0" fontId="53" fillId="32" borderId="0" xfId="0" applyFont="1" applyFill="1" applyAlignment="1" applyProtection="1">
      <alignment vertical="center"/>
      <protection locked="0"/>
    </xf>
    <xf numFmtId="0" fontId="53" fillId="32" borderId="0" xfId="0" applyFont="1" applyFill="1" applyBorder="1" applyAlignment="1" applyProtection="1">
      <alignment vertical="center"/>
      <protection locked="0"/>
    </xf>
    <xf numFmtId="178" fontId="53" fillId="32" borderId="0" xfId="0" applyNumberFormat="1" applyFont="1" applyFill="1" applyBorder="1" applyAlignment="1" applyProtection="1">
      <alignment vertical="center"/>
      <protection locked="0"/>
    </xf>
    <xf numFmtId="0" fontId="54" fillId="32" borderId="11" xfId="0" applyFont="1" applyFill="1" applyBorder="1" applyAlignment="1" applyProtection="1">
      <alignment horizontal="center" vertical="center" wrapText="1"/>
      <protection locked="0"/>
    </xf>
    <xf numFmtId="0" fontId="54" fillId="32" borderId="10" xfId="0" applyFont="1" applyFill="1" applyBorder="1" applyAlignment="1" applyProtection="1">
      <alignment horizontal="center" vertical="center" wrapText="1"/>
      <protection locked="0"/>
    </xf>
    <xf numFmtId="0" fontId="54" fillId="32" borderId="12" xfId="0" applyFont="1" applyFill="1" applyBorder="1" applyAlignment="1" applyProtection="1">
      <alignment vertical="center" wrapText="1"/>
      <protection locked="0"/>
    </xf>
    <xf numFmtId="173" fontId="54" fillId="32" borderId="10" xfId="67" applyNumberFormat="1" applyFont="1" applyFill="1" applyBorder="1" applyAlignment="1" applyProtection="1">
      <alignment vertical="center" wrapText="1"/>
      <protection locked="0"/>
    </xf>
    <xf numFmtId="0" fontId="53" fillId="32" borderId="13" xfId="0" applyFont="1" applyFill="1" applyBorder="1" applyAlignment="1" applyProtection="1">
      <alignment horizontal="left" vertical="center" wrapText="1"/>
      <protection locked="0"/>
    </xf>
    <xf numFmtId="0" fontId="55" fillId="32" borderId="14" xfId="0" applyFont="1" applyFill="1" applyBorder="1" applyAlignment="1" applyProtection="1">
      <alignment vertical="center" wrapText="1"/>
      <protection locked="0"/>
    </xf>
    <xf numFmtId="173" fontId="54" fillId="32" borderId="15" xfId="67" applyNumberFormat="1" applyFont="1" applyFill="1" applyBorder="1" applyAlignment="1" applyProtection="1">
      <alignment vertical="center" wrapText="1"/>
      <protection locked="0"/>
    </xf>
    <xf numFmtId="173" fontId="3" fillId="32" borderId="15" xfId="0" applyNumberFormat="1" applyFont="1" applyFill="1" applyBorder="1" applyAlignment="1" applyProtection="1">
      <alignment vertical="center" wrapText="1"/>
      <protection locked="0"/>
    </xf>
    <xf numFmtId="0" fontId="53" fillId="32" borderId="16" xfId="0" applyFont="1" applyFill="1" applyBorder="1" applyAlignment="1" applyProtection="1">
      <alignment horizontal="left" vertical="center" wrapText="1"/>
      <protection locked="0"/>
    </xf>
    <xf numFmtId="0" fontId="53" fillId="32" borderId="17" xfId="0" applyFont="1" applyFill="1" applyBorder="1" applyAlignment="1" applyProtection="1">
      <alignment vertical="center" wrapText="1"/>
      <protection locked="0"/>
    </xf>
    <xf numFmtId="173" fontId="53" fillId="32" borderId="10" xfId="67" applyNumberFormat="1" applyFont="1" applyFill="1" applyBorder="1" applyAlignment="1" applyProtection="1">
      <alignment vertical="center" wrapText="1"/>
      <protection locked="0"/>
    </xf>
    <xf numFmtId="0" fontId="53" fillId="32" borderId="10" xfId="0" applyFont="1" applyFill="1" applyBorder="1" applyAlignment="1" applyProtection="1">
      <alignment vertical="center" wrapText="1"/>
      <protection locked="0"/>
    </xf>
    <xf numFmtId="0" fontId="53" fillId="32" borderId="18" xfId="0" applyFont="1" applyFill="1" applyBorder="1" applyAlignment="1" applyProtection="1">
      <alignment vertical="center" wrapText="1"/>
      <protection locked="0"/>
    </xf>
    <xf numFmtId="0" fontId="53" fillId="32" borderId="11" xfId="0" applyFont="1" applyFill="1" applyBorder="1" applyAlignment="1" applyProtection="1">
      <alignment horizontal="left" vertical="center" wrapText="1"/>
      <protection locked="0"/>
    </xf>
    <xf numFmtId="0" fontId="54" fillId="32" borderId="16" xfId="0" applyFont="1" applyFill="1" applyBorder="1" applyAlignment="1" applyProtection="1">
      <alignment vertical="center" wrapText="1"/>
      <protection locked="0"/>
    </xf>
    <xf numFmtId="173" fontId="3" fillId="32" borderId="10" xfId="67" applyNumberFormat="1" applyFont="1" applyFill="1" applyBorder="1" applyAlignment="1" applyProtection="1">
      <alignment vertical="center" wrapText="1"/>
      <protection locked="0"/>
    </xf>
    <xf numFmtId="173" fontId="3" fillId="32" borderId="10" xfId="0" applyNumberFormat="1" applyFont="1" applyFill="1" applyBorder="1" applyAlignment="1" applyProtection="1">
      <alignment vertical="center" wrapText="1"/>
      <protection locked="0"/>
    </xf>
    <xf numFmtId="173" fontId="54" fillId="32" borderId="13" xfId="67" applyNumberFormat="1" applyFont="1" applyFill="1" applyBorder="1" applyAlignment="1" applyProtection="1">
      <alignment vertical="center" wrapText="1"/>
      <protection locked="0"/>
    </xf>
    <xf numFmtId="173" fontId="2" fillId="32" borderId="10" xfId="67" applyNumberFormat="1" applyFont="1" applyFill="1" applyBorder="1" applyAlignment="1" applyProtection="1">
      <alignment vertical="center" wrapText="1"/>
      <protection locked="0"/>
    </xf>
    <xf numFmtId="0" fontId="53" fillId="32" borderId="11" xfId="0" applyFont="1" applyFill="1" applyBorder="1" applyAlignment="1" applyProtection="1">
      <alignment vertical="center" wrapText="1"/>
      <protection locked="0"/>
    </xf>
    <xf numFmtId="173" fontId="2" fillId="32" borderId="10" xfId="0" applyNumberFormat="1" applyFont="1" applyFill="1" applyBorder="1" applyAlignment="1" applyProtection="1">
      <alignment vertical="center" wrapText="1"/>
      <protection locked="0"/>
    </xf>
    <xf numFmtId="173" fontId="53" fillId="32" borderId="11" xfId="0" applyNumberFormat="1" applyFont="1" applyFill="1" applyBorder="1" applyAlignment="1" applyProtection="1">
      <alignment horizontal="right" vertical="center" wrapText="1"/>
      <protection locked="0"/>
    </xf>
    <xf numFmtId="0" fontId="53" fillId="32" borderId="13" xfId="0" applyFont="1" applyFill="1" applyBorder="1" applyAlignment="1" applyProtection="1">
      <alignment vertical="center" wrapText="1"/>
      <protection locked="0"/>
    </xf>
    <xf numFmtId="173" fontId="53" fillId="32" borderId="0" xfId="0" applyNumberFormat="1" applyFont="1" applyFill="1" applyAlignment="1" applyProtection="1">
      <alignment vertical="center"/>
      <protection locked="0"/>
    </xf>
    <xf numFmtId="0" fontId="54" fillId="32" borderId="13" xfId="0" applyFont="1" applyFill="1" applyBorder="1" applyAlignment="1" applyProtection="1">
      <alignment vertical="center" wrapText="1"/>
      <protection/>
    </xf>
    <xf numFmtId="173" fontId="54" fillId="32" borderId="13" xfId="67" applyNumberFormat="1" applyFont="1" applyFill="1" applyBorder="1" applyAlignment="1" applyProtection="1">
      <alignment vertical="center" wrapText="1"/>
      <protection/>
    </xf>
    <xf numFmtId="0" fontId="53" fillId="32" borderId="0" xfId="0" applyFont="1" applyFill="1" applyAlignment="1" applyProtection="1">
      <alignment vertical="center"/>
      <protection/>
    </xf>
    <xf numFmtId="0" fontId="53" fillId="32" borderId="0" xfId="0" applyFont="1" applyFill="1" applyBorder="1" applyAlignment="1" applyProtection="1">
      <alignment vertical="center"/>
      <protection/>
    </xf>
    <xf numFmtId="0" fontId="53" fillId="32" borderId="11" xfId="0" applyFont="1" applyFill="1" applyBorder="1" applyAlignment="1" applyProtection="1">
      <alignment vertical="center" wrapText="1"/>
      <protection/>
    </xf>
    <xf numFmtId="173" fontId="53" fillId="32" borderId="11" xfId="0" applyNumberFormat="1" applyFont="1" applyFill="1" applyBorder="1" applyAlignment="1" applyProtection="1">
      <alignment horizontal="right" vertical="center" wrapText="1"/>
      <protection/>
    </xf>
    <xf numFmtId="0" fontId="53" fillId="32" borderId="10" xfId="0" applyFont="1" applyFill="1" applyBorder="1" applyAlignment="1" applyProtection="1">
      <alignment vertical="center" wrapText="1"/>
      <protection/>
    </xf>
    <xf numFmtId="173" fontId="53" fillId="32" borderId="10" xfId="0" applyNumberFormat="1" applyFont="1" applyFill="1" applyBorder="1" applyAlignment="1" applyProtection="1">
      <alignment horizontal="right" vertical="center" wrapText="1"/>
      <protection/>
    </xf>
    <xf numFmtId="0" fontId="54" fillId="32" borderId="13" xfId="0" applyFont="1" applyFill="1" applyBorder="1" applyAlignment="1" applyProtection="1">
      <alignment vertical="center" wrapText="1"/>
      <protection locked="0"/>
    </xf>
    <xf numFmtId="173" fontId="4" fillId="32" borderId="11" xfId="0" applyNumberFormat="1" applyFont="1" applyFill="1" applyBorder="1" applyAlignment="1" applyProtection="1">
      <alignment horizontal="right" vertical="center" wrapText="1"/>
      <protection locked="0"/>
    </xf>
    <xf numFmtId="173" fontId="4" fillId="32" borderId="10" xfId="0" applyNumberFormat="1" applyFont="1" applyFill="1" applyBorder="1" applyAlignment="1" applyProtection="1">
      <alignment horizontal="right" vertical="center" wrapText="1"/>
      <protection locked="0"/>
    </xf>
    <xf numFmtId="0" fontId="53" fillId="32" borderId="10" xfId="0" applyFont="1" applyFill="1" applyBorder="1" applyAlignment="1" applyProtection="1">
      <alignment horizontal="left" vertical="center" wrapText="1"/>
      <protection locked="0"/>
    </xf>
    <xf numFmtId="173" fontId="54" fillId="32" borderId="0" xfId="0" applyNumberFormat="1" applyFont="1" applyFill="1" applyAlignment="1" applyProtection="1">
      <alignment vertical="center"/>
      <protection locked="0"/>
    </xf>
    <xf numFmtId="0" fontId="4" fillId="32" borderId="10" xfId="0" applyFont="1" applyFill="1" applyBorder="1" applyAlignment="1" applyProtection="1">
      <alignment vertical="center" wrapText="1"/>
      <protection locked="0"/>
    </xf>
    <xf numFmtId="173" fontId="53" fillId="32" borderId="10" xfId="54" applyNumberFormat="1" applyFont="1" applyFill="1" applyBorder="1" applyAlignment="1" applyProtection="1">
      <alignment horizontal="right" vertical="center" wrapText="1"/>
      <protection locked="0"/>
    </xf>
    <xf numFmtId="0" fontId="53" fillId="32" borderId="14" xfId="0" applyFont="1" applyFill="1" applyBorder="1" applyAlignment="1" applyProtection="1">
      <alignment vertical="center"/>
      <protection locked="0"/>
    </xf>
    <xf numFmtId="0" fontId="53" fillId="32" borderId="15" xfId="0" applyFont="1" applyFill="1" applyBorder="1" applyAlignment="1">
      <alignment vertical="center"/>
    </xf>
    <xf numFmtId="0" fontId="53" fillId="32" borderId="18" xfId="0" applyFont="1" applyFill="1" applyBorder="1" applyAlignment="1">
      <alignment vertical="center"/>
    </xf>
    <xf numFmtId="173" fontId="53" fillId="32" borderId="10" xfId="0" applyNumberFormat="1" applyFont="1" applyFill="1" applyBorder="1" applyAlignment="1" applyProtection="1">
      <alignment horizontal="center" vertical="center"/>
      <protection locked="0"/>
    </xf>
    <xf numFmtId="173" fontId="54" fillId="32" borderId="10" xfId="0" applyNumberFormat="1" applyFont="1" applyFill="1" applyBorder="1" applyAlignment="1" applyProtection="1">
      <alignment vertical="center" wrapText="1"/>
      <protection locked="0"/>
    </xf>
    <xf numFmtId="173" fontId="54" fillId="32" borderId="13" xfId="67" applyNumberFormat="1" applyFont="1" applyFill="1" applyBorder="1" applyAlignment="1" applyProtection="1">
      <alignment horizontal="right" vertical="center" wrapText="1"/>
      <protection locked="0"/>
    </xf>
    <xf numFmtId="173" fontId="54" fillId="32" borderId="11" xfId="67" applyNumberFormat="1" applyFont="1" applyFill="1" applyBorder="1" applyAlignment="1" applyProtection="1">
      <alignment vertical="center" wrapText="1"/>
      <protection locked="0"/>
    </xf>
    <xf numFmtId="0" fontId="53" fillId="32" borderId="0" xfId="0" applyFont="1" applyFill="1" applyAlignment="1" applyProtection="1">
      <alignment vertical="center" wrapText="1"/>
      <protection locked="0"/>
    </xf>
    <xf numFmtId="0" fontId="54" fillId="32" borderId="0" xfId="0" applyFont="1" applyFill="1" applyAlignment="1" applyProtection="1">
      <alignment vertical="center"/>
      <protection locked="0"/>
    </xf>
    <xf numFmtId="0" fontId="54" fillId="32" borderId="0" xfId="0" applyFont="1" applyFill="1" applyBorder="1" applyAlignment="1" applyProtection="1">
      <alignment vertical="center"/>
      <protection locked="0"/>
    </xf>
    <xf numFmtId="173" fontId="53" fillId="32" borderId="0" xfId="0" applyNumberFormat="1" applyFont="1" applyFill="1" applyAlignment="1" applyProtection="1">
      <alignment horizontal="left" vertical="center"/>
      <protection locked="0"/>
    </xf>
    <xf numFmtId="0" fontId="53" fillId="32" borderId="0" xfId="0" applyFont="1" applyFill="1" applyAlignment="1" applyProtection="1">
      <alignment horizontal="left" vertical="center"/>
      <protection locked="0"/>
    </xf>
    <xf numFmtId="0" fontId="53" fillId="32" borderId="0" xfId="0" applyFont="1" applyFill="1" applyBorder="1" applyAlignment="1" applyProtection="1">
      <alignment vertical="center" wrapText="1"/>
      <protection locked="0"/>
    </xf>
    <xf numFmtId="173" fontId="53" fillId="32" borderId="0" xfId="0" applyNumberFormat="1" applyFont="1" applyFill="1" applyAlignment="1" applyProtection="1">
      <alignment vertical="center" wrapText="1"/>
      <protection locked="0"/>
    </xf>
    <xf numFmtId="173" fontId="54" fillId="32" borderId="0" xfId="0" applyNumberFormat="1" applyFont="1" applyFill="1" applyBorder="1" applyAlignment="1" applyProtection="1">
      <alignment vertical="center"/>
      <protection locked="0"/>
    </xf>
    <xf numFmtId="173" fontId="54" fillId="33" borderId="10" xfId="67" applyNumberFormat="1" applyFont="1" applyFill="1" applyBorder="1" applyAlignment="1" applyProtection="1">
      <alignment vertical="center" wrapText="1"/>
      <protection locked="0"/>
    </xf>
    <xf numFmtId="173" fontId="53" fillId="33" borderId="10" xfId="67" applyNumberFormat="1" applyFont="1" applyFill="1" applyBorder="1" applyAlignment="1" applyProtection="1">
      <alignment vertical="center" wrapText="1"/>
      <protection locked="0"/>
    </xf>
    <xf numFmtId="173" fontId="3" fillId="33" borderId="10" xfId="0" applyNumberFormat="1" applyFont="1" applyFill="1" applyBorder="1" applyAlignment="1" applyProtection="1">
      <alignment vertical="center" wrapText="1"/>
      <protection locked="0"/>
    </xf>
    <xf numFmtId="173" fontId="2" fillId="33" borderId="10" xfId="0" applyNumberFormat="1" applyFont="1" applyFill="1" applyBorder="1" applyAlignment="1" applyProtection="1">
      <alignment vertical="center" wrapText="1"/>
      <protection locked="0"/>
    </xf>
    <xf numFmtId="173" fontId="2" fillId="33" borderId="10" xfId="0" applyNumberFormat="1" applyFont="1" applyFill="1" applyBorder="1" applyAlignment="1" applyProtection="1">
      <alignment horizontal="right" vertical="center" wrapText="1"/>
      <protection locked="0"/>
    </xf>
    <xf numFmtId="173" fontId="54" fillId="33" borderId="10" xfId="0" applyNumberFormat="1" applyFont="1" applyFill="1" applyBorder="1" applyAlignment="1" applyProtection="1">
      <alignment vertical="center" wrapText="1"/>
      <protection locked="0"/>
    </xf>
    <xf numFmtId="173" fontId="4" fillId="34" borderId="10" xfId="0" applyNumberFormat="1" applyFont="1" applyFill="1" applyBorder="1" applyAlignment="1" applyProtection="1">
      <alignment horizontal="right" vertical="center" wrapText="1"/>
      <protection locked="0"/>
    </xf>
    <xf numFmtId="173" fontId="53" fillId="32" borderId="0" xfId="0" applyNumberFormat="1" applyFont="1" applyFill="1" applyBorder="1" applyAlignment="1" applyProtection="1">
      <alignment vertical="center"/>
      <protection locked="0"/>
    </xf>
    <xf numFmtId="173" fontId="5" fillId="32" borderId="10" xfId="67" applyNumberFormat="1" applyFont="1" applyFill="1" applyBorder="1" applyAlignment="1" applyProtection="1">
      <alignment vertical="center" wrapText="1"/>
      <protection locked="0"/>
    </xf>
    <xf numFmtId="173" fontId="54" fillId="33" borderId="0" xfId="0" applyNumberFormat="1" applyFont="1" applyFill="1" applyBorder="1" applyAlignment="1" applyProtection="1">
      <alignment horizontal="center" vertical="center"/>
      <protection locked="0"/>
    </xf>
    <xf numFmtId="173" fontId="54" fillId="33" borderId="10" xfId="0" applyNumberFormat="1" applyFont="1" applyFill="1" applyBorder="1" applyAlignment="1" applyProtection="1">
      <alignment horizontal="center" vertical="center" wrapText="1"/>
      <protection locked="0"/>
    </xf>
    <xf numFmtId="173" fontId="2" fillId="33" borderId="19" xfId="0" applyNumberFormat="1" applyFont="1" applyFill="1" applyBorder="1" applyAlignment="1">
      <alignment vertical="center" wrapText="1"/>
    </xf>
    <xf numFmtId="173" fontId="53" fillId="33" borderId="15" xfId="0" applyNumberFormat="1" applyFont="1" applyFill="1" applyBorder="1" applyAlignment="1">
      <alignment vertical="center"/>
    </xf>
    <xf numFmtId="173" fontId="54" fillId="33" borderId="0" xfId="0" applyNumberFormat="1" applyFont="1" applyFill="1" applyAlignment="1" applyProtection="1">
      <alignment vertical="center"/>
      <protection locked="0"/>
    </xf>
    <xf numFmtId="173" fontId="53" fillId="33" borderId="0" xfId="0" applyNumberFormat="1" applyFont="1" applyFill="1" applyAlignment="1" applyProtection="1">
      <alignment horizontal="left" vertical="center"/>
      <protection locked="0"/>
    </xf>
    <xf numFmtId="173" fontId="54" fillId="33" borderId="0" xfId="0" applyNumberFormat="1" applyFont="1" applyFill="1" applyBorder="1" applyAlignment="1" applyProtection="1">
      <alignment vertical="center"/>
      <protection locked="0"/>
    </xf>
    <xf numFmtId="173" fontId="53" fillId="33" borderId="0" xfId="0" applyNumberFormat="1" applyFont="1" applyFill="1" applyAlignment="1" applyProtection="1">
      <alignment vertical="center" wrapText="1"/>
      <protection locked="0"/>
    </xf>
    <xf numFmtId="173" fontId="3" fillId="32" borderId="15" xfId="67" applyNumberFormat="1" applyFont="1" applyFill="1" applyBorder="1" applyAlignment="1" applyProtection="1">
      <alignment vertical="center" wrapText="1"/>
      <protection locked="0"/>
    </xf>
    <xf numFmtId="173" fontId="3" fillId="32" borderId="15" xfId="0" applyNumberFormat="1" applyFont="1" applyFill="1" applyBorder="1" applyAlignment="1" applyProtection="1">
      <alignment vertical="center" wrapText="1"/>
      <protection locked="0"/>
    </xf>
    <xf numFmtId="173" fontId="3" fillId="33" borderId="10" xfId="67" applyNumberFormat="1" applyFont="1" applyFill="1" applyBorder="1" applyAlignment="1" applyProtection="1">
      <alignment vertical="center" wrapText="1"/>
      <protection locked="0"/>
    </xf>
    <xf numFmtId="173" fontId="2" fillId="0" borderId="15" xfId="0" applyNumberFormat="1" applyFont="1" applyBorder="1" applyAlignment="1" applyProtection="1">
      <alignment wrapText="1"/>
      <protection locked="0"/>
    </xf>
    <xf numFmtId="173" fontId="3" fillId="33" borderId="18" xfId="67" applyNumberFormat="1" applyFont="1" applyFill="1" applyBorder="1" applyAlignment="1" applyProtection="1">
      <alignment vertical="center" wrapText="1"/>
      <protection locked="0"/>
    </xf>
    <xf numFmtId="173" fontId="2" fillId="35" borderId="10" xfId="0" applyNumberFormat="1" applyFont="1" applyFill="1" applyBorder="1" applyAlignment="1" applyProtection="1">
      <alignment vertical="center" wrapText="1"/>
      <protection locked="0"/>
    </xf>
    <xf numFmtId="4" fontId="53" fillId="0" borderId="11" xfId="0" applyNumberFormat="1" applyFont="1" applyFill="1" applyBorder="1" applyAlignment="1" applyProtection="1">
      <alignment horizontal="right" vertical="center"/>
      <protection locked="0"/>
    </xf>
    <xf numFmtId="173" fontId="53" fillId="0" borderId="10" xfId="0" applyNumberFormat="1" applyFont="1" applyFill="1" applyBorder="1" applyAlignment="1" applyProtection="1">
      <alignment horizontal="right" vertical="center"/>
      <protection locked="0"/>
    </xf>
    <xf numFmtId="0" fontId="53" fillId="32" borderId="10" xfId="0" applyFont="1" applyFill="1" applyBorder="1" applyAlignment="1" applyProtection="1">
      <alignment vertical="center" wrapText="1"/>
      <protection locked="0"/>
    </xf>
    <xf numFmtId="173" fontId="53" fillId="32" borderId="11" xfId="67" applyNumberFormat="1" applyFont="1" applyFill="1" applyBorder="1" applyAlignment="1" applyProtection="1">
      <alignment vertical="center" wrapText="1"/>
      <protection locked="0"/>
    </xf>
    <xf numFmtId="173" fontId="53" fillId="33" borderId="10" xfId="0" applyNumberFormat="1" applyFont="1" applyFill="1" applyBorder="1" applyAlignment="1" applyProtection="1">
      <alignment vertical="center" wrapText="1"/>
      <protection locked="0"/>
    </xf>
    <xf numFmtId="173" fontId="4" fillId="34" borderId="10" xfId="0" applyNumberFormat="1" applyFont="1" applyFill="1" applyBorder="1" applyAlignment="1" applyProtection="1">
      <alignment vertical="center" wrapText="1"/>
      <protection locked="0"/>
    </xf>
    <xf numFmtId="2" fontId="4" fillId="0" borderId="0" xfId="0" applyNumberFormat="1" applyFont="1" applyAlignment="1" applyProtection="1">
      <alignment vertical="center" wrapText="1"/>
      <protection locked="0"/>
    </xf>
    <xf numFmtId="0" fontId="4" fillId="0" borderId="0" xfId="0" applyFont="1" applyAlignment="1" applyProtection="1">
      <alignment horizontal="center" vertical="center"/>
      <protection locked="0"/>
    </xf>
    <xf numFmtId="173" fontId="5" fillId="0" borderId="0" xfId="0" applyNumberFormat="1" applyFont="1" applyAlignment="1" applyProtection="1">
      <alignment horizontal="center" vertical="center"/>
      <protection locked="0"/>
    </xf>
    <xf numFmtId="0" fontId="7" fillId="0" borderId="0" xfId="0" applyFont="1" applyAlignment="1" applyProtection="1">
      <alignment horizontal="left" vertical="top"/>
      <protection locked="0"/>
    </xf>
    <xf numFmtId="0" fontId="4" fillId="0" borderId="0" xfId="0" applyFont="1" applyAlignment="1" applyProtection="1">
      <alignment vertical="center"/>
      <protection locked="0"/>
    </xf>
    <xf numFmtId="178" fontId="4" fillId="0" borderId="0" xfId="0" applyNumberFormat="1" applyFont="1" applyAlignment="1" applyProtection="1">
      <alignment vertical="center"/>
      <protection locked="0"/>
    </xf>
    <xf numFmtId="0" fontId="4" fillId="36"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5" fillId="36" borderId="0" xfId="0" applyFont="1" applyFill="1" applyAlignment="1" applyProtection="1">
      <alignment horizontal="center" vertical="center"/>
      <protection locked="0"/>
    </xf>
    <xf numFmtId="0" fontId="4" fillId="0" borderId="0" xfId="0" applyFont="1" applyAlignment="1" applyProtection="1">
      <alignment horizontal="left" vertical="center"/>
      <protection locked="0"/>
    </xf>
    <xf numFmtId="0" fontId="5" fillId="0" borderId="1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36" borderId="13" xfId="0" applyFont="1" applyFill="1" applyBorder="1" applyAlignment="1" applyProtection="1">
      <alignment horizontal="center" vertical="center" wrapText="1"/>
      <protection locked="0"/>
    </xf>
    <xf numFmtId="1" fontId="5" fillId="0" borderId="20" xfId="0"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wrapText="1"/>
      <protection locked="0"/>
    </xf>
    <xf numFmtId="1" fontId="5" fillId="0" borderId="20" xfId="0" applyNumberFormat="1" applyFont="1" applyBorder="1" applyAlignment="1" applyProtection="1">
      <alignment horizontal="right" vertical="center" wrapText="1"/>
      <protection locked="0"/>
    </xf>
    <xf numFmtId="1" fontId="5" fillId="0" borderId="19" xfId="0" applyNumberFormat="1" applyFont="1" applyBorder="1" applyAlignment="1" applyProtection="1">
      <alignment horizontal="center" vertical="center" wrapText="1"/>
      <protection locked="0"/>
    </xf>
    <xf numFmtId="1" fontId="5" fillId="36" borderId="10" xfId="0" applyNumberFormat="1" applyFont="1" applyFill="1" applyBorder="1" applyAlignment="1" applyProtection="1">
      <alignment horizontal="center" vertical="center" wrapText="1"/>
      <protection locked="0"/>
    </xf>
    <xf numFmtId="1" fontId="4" fillId="0" borderId="18" xfId="0" applyNumberFormat="1" applyFont="1" applyBorder="1" applyAlignment="1" applyProtection="1">
      <alignment horizontal="center" vertical="center" wrapText="1"/>
      <protection locked="0"/>
    </xf>
    <xf numFmtId="173" fontId="5" fillId="0" borderId="13" xfId="0" applyNumberFormat="1" applyFont="1" applyBorder="1" applyAlignment="1" applyProtection="1">
      <alignment horizontal="center" vertical="center" textRotation="90" wrapText="1"/>
      <protection locked="0"/>
    </xf>
    <xf numFmtId="1" fontId="4" fillId="0" borderId="21" xfId="0" applyNumberFormat="1" applyFont="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5" fillId="36" borderId="11"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173" fontId="5" fillId="0" borderId="10" xfId="0" applyNumberFormat="1" applyFont="1" applyBorder="1" applyAlignment="1" applyProtection="1">
      <alignment vertical="center" wrapText="1"/>
      <protection locked="0"/>
    </xf>
    <xf numFmtId="173" fontId="4" fillId="0" borderId="10" xfId="0" applyNumberFormat="1" applyFont="1" applyBorder="1" applyAlignment="1" applyProtection="1">
      <alignment vertical="center" wrapText="1"/>
      <protection locked="0"/>
    </xf>
    <xf numFmtId="0" fontId="7" fillId="0" borderId="13" xfId="0" applyFont="1" applyBorder="1" applyAlignment="1" applyProtection="1">
      <alignment horizontal="left" vertical="top" wrapText="1"/>
      <protection locked="0"/>
    </xf>
    <xf numFmtId="0" fontId="7" fillId="0" borderId="13" xfId="0" applyFont="1" applyBorder="1" applyAlignment="1" applyProtection="1">
      <alignment horizontal="left" vertical="top"/>
      <protection locked="0"/>
    </xf>
    <xf numFmtId="173" fontId="5" fillId="36" borderId="10" xfId="0" applyNumberFormat="1" applyFont="1" applyFill="1" applyBorder="1" applyAlignment="1" applyProtection="1">
      <alignment vertical="center" wrapText="1"/>
      <protection locked="0"/>
    </xf>
    <xf numFmtId="173" fontId="5" fillId="0" borderId="11" xfId="0" applyNumberFormat="1" applyFont="1" applyBorder="1" applyAlignment="1" applyProtection="1">
      <alignment horizontal="right" vertical="center"/>
      <protection locked="0"/>
    </xf>
    <xf numFmtId="0" fontId="4" fillId="0" borderId="13" xfId="0" applyFont="1" applyBorder="1" applyAlignment="1" applyProtection="1">
      <alignment horizontal="left" vertical="center" wrapText="1"/>
      <protection locked="0"/>
    </xf>
    <xf numFmtId="0" fontId="6" fillId="0" borderId="14" xfId="0" applyFont="1" applyBorder="1" applyAlignment="1" applyProtection="1">
      <alignment vertical="center" wrapText="1"/>
      <protection locked="0"/>
    </xf>
    <xf numFmtId="173" fontId="5" fillId="0" borderId="15" xfId="0" applyNumberFormat="1" applyFont="1" applyBorder="1" applyAlignment="1" applyProtection="1">
      <alignment vertical="center" wrapText="1"/>
      <protection locked="0"/>
    </xf>
    <xf numFmtId="173" fontId="5" fillId="0" borderId="15" xfId="0" applyNumberFormat="1" applyFont="1" applyBorder="1" applyAlignment="1" applyProtection="1">
      <alignment horizontal="right" vertical="center"/>
      <protection locked="0"/>
    </xf>
    <xf numFmtId="173" fontId="5" fillId="36" borderId="15" xfId="0" applyNumberFormat="1" applyFont="1" applyFill="1" applyBorder="1" applyAlignment="1" applyProtection="1">
      <alignment vertical="center" wrapText="1"/>
      <protection locked="0"/>
    </xf>
    <xf numFmtId="173" fontId="5" fillId="36" borderId="15"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left" vertical="top"/>
      <protection locked="0"/>
    </xf>
    <xf numFmtId="0" fontId="4" fillId="0" borderId="15" xfId="0" applyFont="1" applyBorder="1" applyAlignment="1" applyProtection="1">
      <alignment vertical="center" wrapText="1"/>
      <protection locked="0"/>
    </xf>
    <xf numFmtId="173" fontId="5" fillId="0" borderId="18" xfId="0" applyNumberFormat="1"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7" fillId="0" borderId="11" xfId="0" applyFont="1" applyBorder="1" applyAlignment="1" applyProtection="1">
      <alignment horizontal="left" vertical="top"/>
      <protection locked="0"/>
    </xf>
    <xf numFmtId="0" fontId="4" fillId="37" borderId="11" xfId="0" applyFont="1" applyFill="1" applyBorder="1" applyAlignment="1" applyProtection="1">
      <alignment vertical="center" wrapText="1"/>
      <protection locked="0"/>
    </xf>
    <xf numFmtId="0" fontId="5" fillId="0" borderId="16" xfId="0" applyFont="1" applyBorder="1" applyAlignment="1" applyProtection="1">
      <alignment vertical="center" wrapText="1"/>
      <protection locked="0"/>
    </xf>
    <xf numFmtId="173" fontId="5" fillId="0" borderId="13" xfId="0" applyNumberFormat="1" applyFont="1" applyBorder="1" applyAlignment="1" applyProtection="1">
      <alignment vertical="center" wrapText="1"/>
      <protection locked="0"/>
    </xf>
    <xf numFmtId="173" fontId="5" fillId="0" borderId="13" xfId="0" applyNumberFormat="1" applyFont="1" applyBorder="1" applyAlignment="1" applyProtection="1">
      <alignment horizontal="right" vertical="center"/>
      <protection locked="0"/>
    </xf>
    <xf numFmtId="173" fontId="5" fillId="0" borderId="16" xfId="0" applyNumberFormat="1" applyFont="1" applyBorder="1" applyAlignment="1" applyProtection="1">
      <alignment horizontal="right" vertical="center"/>
      <protection locked="0"/>
    </xf>
    <xf numFmtId="173" fontId="5" fillId="36" borderId="13" xfId="0" applyNumberFormat="1" applyFont="1" applyFill="1" applyBorder="1" applyAlignment="1" applyProtection="1">
      <alignment vertical="center" wrapText="1"/>
      <protection locked="0"/>
    </xf>
    <xf numFmtId="173" fontId="5" fillId="0" borderId="10" xfId="0" applyNumberFormat="1" applyFont="1" applyBorder="1" applyAlignment="1" applyProtection="1">
      <alignment horizontal="right" vertical="center"/>
      <protection locked="0"/>
    </xf>
    <xf numFmtId="173" fontId="5" fillId="36" borderId="10" xfId="0" applyNumberFormat="1" applyFont="1" applyFill="1" applyBorder="1" applyAlignment="1" applyProtection="1">
      <alignment horizontal="right" vertical="center"/>
      <protection locked="0"/>
    </xf>
    <xf numFmtId="175" fontId="4" fillId="0" borderId="10" xfId="0" applyNumberFormat="1"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173" fontId="6" fillId="0" borderId="10" xfId="0" applyNumberFormat="1" applyFont="1" applyBorder="1" applyAlignment="1" applyProtection="1">
      <alignment vertical="center" wrapText="1"/>
      <protection locked="0"/>
    </xf>
    <xf numFmtId="173" fontId="6" fillId="36" borderId="10" xfId="0" applyNumberFormat="1" applyFont="1" applyFill="1" applyBorder="1" applyAlignment="1" applyProtection="1">
      <alignment vertical="center" wrapText="1"/>
      <protection locked="0"/>
    </xf>
    <xf numFmtId="173" fontId="6" fillId="0" borderId="10" xfId="0" applyNumberFormat="1" applyFont="1" applyBorder="1" applyAlignment="1" applyProtection="1">
      <alignment horizontal="right" vertical="center" wrapText="1"/>
      <protection locked="0"/>
    </xf>
    <xf numFmtId="173" fontId="6" fillId="0" borderId="10" xfId="0" applyNumberFormat="1" applyFont="1" applyBorder="1" applyAlignment="1" applyProtection="1">
      <alignment horizontal="right" vertical="center"/>
      <protection locked="0"/>
    </xf>
    <xf numFmtId="175" fontId="6" fillId="0" borderId="10" xfId="0" applyNumberFormat="1" applyFont="1" applyBorder="1" applyAlignment="1" applyProtection="1">
      <alignment horizontal="right" vertical="center" wrapText="1"/>
      <protection locked="0"/>
    </xf>
    <xf numFmtId="173" fontId="6" fillId="36" borderId="10" xfId="0" applyNumberFormat="1" applyFont="1" applyFill="1" applyBorder="1" applyAlignment="1" applyProtection="1">
      <alignment horizontal="right" vertical="center" wrapText="1"/>
      <protection locked="0"/>
    </xf>
    <xf numFmtId="173" fontId="4" fillId="36" borderId="10" xfId="0" applyNumberFormat="1" applyFont="1" applyFill="1" applyBorder="1" applyAlignment="1" applyProtection="1">
      <alignment horizontal="right" vertical="center"/>
      <protection locked="0"/>
    </xf>
    <xf numFmtId="173" fontId="4" fillId="0" borderId="10" xfId="0" applyNumberFormat="1" applyFont="1" applyBorder="1" applyAlignment="1" applyProtection="1">
      <alignment horizontal="right" vertical="center"/>
      <protection locked="0"/>
    </xf>
    <xf numFmtId="173" fontId="4" fillId="0" borderId="10" xfId="0" applyNumberFormat="1" applyFont="1" applyBorder="1" applyAlignment="1" applyProtection="1">
      <alignment horizontal="right" vertical="center" wrapText="1"/>
      <protection locked="0"/>
    </xf>
    <xf numFmtId="173" fontId="4" fillId="36" borderId="10" xfId="0" applyNumberFormat="1" applyFont="1" applyFill="1" applyBorder="1" applyAlignment="1" applyProtection="1">
      <alignment horizontal="right" vertical="center" wrapText="1"/>
      <protection locked="0"/>
    </xf>
    <xf numFmtId="173" fontId="4" fillId="0" borderId="11" xfId="0" applyNumberFormat="1" applyFont="1" applyBorder="1" applyAlignment="1" applyProtection="1">
      <alignment horizontal="right" vertical="center"/>
      <protection locked="0"/>
    </xf>
    <xf numFmtId="4" fontId="4" fillId="0" borderId="10" xfId="0" applyNumberFormat="1" applyFont="1" applyBorder="1" applyAlignment="1" applyProtection="1">
      <alignment horizontal="right" vertical="center"/>
      <protection locked="0"/>
    </xf>
    <xf numFmtId="175" fontId="4" fillId="0" borderId="10" xfId="0" applyNumberFormat="1" applyFont="1" applyBorder="1" applyAlignment="1" applyProtection="1">
      <alignment horizontal="right" vertical="center" wrapText="1"/>
      <protection locked="0"/>
    </xf>
    <xf numFmtId="173" fontId="6" fillId="38" borderId="10" xfId="0" applyNumberFormat="1" applyFont="1" applyFill="1" applyBorder="1" applyAlignment="1" applyProtection="1">
      <alignment vertical="center" wrapText="1"/>
      <protection locked="0"/>
    </xf>
    <xf numFmtId="173" fontId="4" fillId="38" borderId="10" xfId="0" applyNumberFormat="1" applyFont="1" applyFill="1" applyBorder="1" applyAlignment="1" applyProtection="1">
      <alignment vertical="center" wrapText="1"/>
      <protection locked="0"/>
    </xf>
    <xf numFmtId="173" fontId="4" fillId="38" borderId="10" xfId="0" applyNumberFormat="1" applyFont="1" applyFill="1" applyBorder="1" applyAlignment="1" applyProtection="1">
      <alignment horizontal="right" vertical="center" wrapText="1"/>
      <protection locked="0"/>
    </xf>
    <xf numFmtId="173" fontId="4" fillId="38" borderId="10" xfId="0" applyNumberFormat="1" applyFont="1" applyFill="1" applyBorder="1" applyAlignment="1" applyProtection="1">
      <alignment horizontal="right" vertical="center"/>
      <protection locked="0"/>
    </xf>
    <xf numFmtId="175" fontId="4" fillId="38" borderId="10" xfId="0" applyNumberFormat="1" applyFont="1" applyFill="1" applyBorder="1" applyAlignment="1" applyProtection="1">
      <alignment horizontal="right" vertical="center" wrapText="1"/>
      <protection locked="0"/>
    </xf>
    <xf numFmtId="173" fontId="4" fillId="38" borderId="11" xfId="0" applyNumberFormat="1" applyFont="1" applyFill="1" applyBorder="1" applyAlignment="1" applyProtection="1">
      <alignment horizontal="right" vertical="center"/>
      <protection locked="0"/>
    </xf>
    <xf numFmtId="178" fontId="4" fillId="38" borderId="0" xfId="0" applyNumberFormat="1" applyFont="1" applyFill="1" applyAlignment="1" applyProtection="1">
      <alignment vertical="center"/>
      <protection locked="0"/>
    </xf>
    <xf numFmtId="0" fontId="4" fillId="38" borderId="0" xfId="0" applyFont="1" applyFill="1" applyAlignment="1" applyProtection="1">
      <alignment vertical="center"/>
      <protection locked="0"/>
    </xf>
    <xf numFmtId="0" fontId="4" fillId="38" borderId="10" xfId="0" applyFont="1" applyFill="1" applyBorder="1" applyAlignment="1" applyProtection="1">
      <alignment vertical="center" wrapText="1"/>
      <protection locked="0"/>
    </xf>
    <xf numFmtId="173" fontId="5" fillId="0" borderId="11" xfId="0" applyNumberFormat="1" applyFont="1" applyBorder="1" applyAlignment="1" applyProtection="1">
      <alignment vertical="center" wrapText="1"/>
      <protection locked="0"/>
    </xf>
    <xf numFmtId="173" fontId="4" fillId="0" borderId="11" xfId="0" applyNumberFormat="1" applyFont="1" applyBorder="1" applyAlignment="1" applyProtection="1">
      <alignment vertical="center" wrapText="1"/>
      <protection locked="0"/>
    </xf>
    <xf numFmtId="173" fontId="5" fillId="38" borderId="11" xfId="0" applyNumberFormat="1" applyFont="1" applyFill="1" applyBorder="1" applyAlignment="1" applyProtection="1">
      <alignment vertical="center" wrapText="1"/>
      <protection locked="0"/>
    </xf>
    <xf numFmtId="173" fontId="4" fillId="38" borderId="11" xfId="0" applyNumberFormat="1" applyFont="1" applyFill="1" applyBorder="1" applyAlignment="1" applyProtection="1">
      <alignment vertical="center" wrapText="1"/>
      <protection locked="0"/>
    </xf>
    <xf numFmtId="175" fontId="4" fillId="38" borderId="10" xfId="0" applyNumberFormat="1" applyFont="1" applyFill="1" applyBorder="1" applyAlignment="1" applyProtection="1">
      <alignment vertical="center" wrapText="1"/>
      <protection locked="0"/>
    </xf>
    <xf numFmtId="173" fontId="4" fillId="0" borderId="0" xfId="0" applyNumberFormat="1" applyFont="1" applyAlignment="1" applyProtection="1">
      <alignment vertical="center"/>
      <protection locked="0"/>
    </xf>
    <xf numFmtId="0" fontId="4" fillId="0" borderId="0" xfId="0" applyFont="1" applyAlignment="1">
      <alignment vertical="center"/>
    </xf>
    <xf numFmtId="0" fontId="4" fillId="36" borderId="10" xfId="0" applyFont="1" applyFill="1" applyBorder="1" applyAlignment="1" applyProtection="1">
      <alignment horizontal="center" vertical="center" wrapText="1"/>
      <protection locked="0"/>
    </xf>
    <xf numFmtId="0" fontId="4" fillId="36" borderId="10" xfId="0" applyFont="1" applyFill="1" applyBorder="1" applyAlignment="1" applyProtection="1">
      <alignment vertical="center" wrapText="1"/>
      <protection locked="0"/>
    </xf>
    <xf numFmtId="173" fontId="5" fillId="0" borderId="13" xfId="0" applyNumberFormat="1" applyFont="1" applyBorder="1" applyAlignment="1" applyProtection="1">
      <alignment horizontal="right" vertical="center" wrapText="1"/>
      <protection locked="0"/>
    </xf>
    <xf numFmtId="173" fontId="5" fillId="36" borderId="13" xfId="0" applyNumberFormat="1" applyFont="1" applyFill="1" applyBorder="1" applyAlignment="1" applyProtection="1">
      <alignment horizontal="right" vertical="center"/>
      <protection locked="0"/>
    </xf>
    <xf numFmtId="173" fontId="4" fillId="0" borderId="13" xfId="0" applyNumberFormat="1" applyFont="1" applyBorder="1" applyAlignment="1" applyProtection="1">
      <alignment vertical="center" wrapText="1"/>
      <protection locked="0"/>
    </xf>
    <xf numFmtId="173" fontId="5" fillId="0" borderId="16" xfId="0" applyNumberFormat="1" applyFont="1" applyBorder="1" applyAlignment="1" applyProtection="1">
      <alignment vertical="center" wrapText="1"/>
      <protection locked="0"/>
    </xf>
    <xf numFmtId="173" fontId="5" fillId="0" borderId="16" xfId="0" applyNumberFormat="1" applyFont="1" applyBorder="1" applyAlignment="1" applyProtection="1">
      <alignment horizontal="right" vertical="center" wrapText="1"/>
      <protection locked="0"/>
    </xf>
    <xf numFmtId="173" fontId="5" fillId="0" borderId="18" xfId="0" applyNumberFormat="1" applyFont="1" applyBorder="1" applyAlignment="1" applyProtection="1">
      <alignment horizontal="right" vertical="center"/>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horizontal="right" vertical="center" wrapText="1"/>
      <protection locked="0"/>
    </xf>
    <xf numFmtId="173" fontId="4" fillId="36" borderId="11" xfId="0" applyNumberFormat="1" applyFont="1" applyFill="1" applyBorder="1" applyAlignment="1" applyProtection="1">
      <alignment horizontal="right" vertical="center"/>
      <protection locked="0"/>
    </xf>
    <xf numFmtId="173" fontId="4" fillId="0" borderId="11" xfId="0" applyNumberFormat="1" applyFont="1" applyBorder="1" applyAlignment="1" applyProtection="1">
      <alignment horizontal="right" vertical="center" wrapText="1"/>
      <protection locked="0"/>
    </xf>
    <xf numFmtId="173" fontId="4" fillId="36" borderId="11" xfId="0" applyNumberFormat="1" applyFont="1" applyFill="1" applyBorder="1" applyAlignment="1" applyProtection="1">
      <alignment horizontal="right" vertical="center" wrapText="1"/>
      <protection locked="0"/>
    </xf>
    <xf numFmtId="175" fontId="4" fillId="0" borderId="11" xfId="0" applyNumberFormat="1" applyFont="1" applyBorder="1" applyAlignment="1" applyProtection="1">
      <alignment horizontal="right" vertical="center" wrapText="1"/>
      <protection locked="0"/>
    </xf>
    <xf numFmtId="173" fontId="4" fillId="36" borderId="11" xfId="0" applyNumberFormat="1" applyFont="1" applyFill="1" applyBorder="1" applyAlignment="1" applyProtection="1">
      <alignment vertical="center" wrapText="1"/>
      <protection locked="0"/>
    </xf>
    <xf numFmtId="0" fontId="4" fillId="39" borderId="10" xfId="0" applyFont="1" applyFill="1" applyBorder="1" applyAlignment="1" applyProtection="1">
      <alignment horizontal="center" vertical="center" wrapText="1"/>
      <protection locked="0"/>
    </xf>
    <xf numFmtId="173" fontId="5" fillId="39" borderId="13" xfId="0" applyNumberFormat="1" applyFont="1" applyFill="1" applyBorder="1" applyAlignment="1" applyProtection="1">
      <alignment vertical="center" wrapText="1"/>
      <protection locked="0"/>
    </xf>
    <xf numFmtId="173" fontId="5" fillId="40" borderId="13" xfId="0" applyNumberFormat="1" applyFont="1" applyFill="1" applyBorder="1" applyAlignment="1" applyProtection="1">
      <alignment vertical="center" wrapText="1"/>
      <protection locked="0"/>
    </xf>
    <xf numFmtId="0" fontId="7"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center" wrapText="1"/>
      <protection locked="0"/>
    </xf>
    <xf numFmtId="0" fontId="4" fillId="39" borderId="14" xfId="0" applyFont="1" applyFill="1" applyBorder="1" applyAlignment="1" applyProtection="1">
      <alignment vertical="center" wrapText="1"/>
      <protection locked="0"/>
    </xf>
    <xf numFmtId="0" fontId="4" fillId="40" borderId="15" xfId="0" applyFont="1" applyFill="1" applyBorder="1" applyAlignment="1" applyProtection="1">
      <alignment vertical="center" wrapText="1"/>
      <protection locked="0"/>
    </xf>
    <xf numFmtId="173" fontId="4" fillId="39" borderId="11" xfId="0" applyNumberFormat="1" applyFont="1" applyFill="1" applyBorder="1" applyAlignment="1" applyProtection="1">
      <alignment vertical="center" wrapText="1"/>
      <protection locked="0"/>
    </xf>
    <xf numFmtId="173" fontId="4" fillId="40" borderId="11" xfId="0" applyNumberFormat="1" applyFont="1" applyFill="1" applyBorder="1" applyAlignment="1" applyProtection="1">
      <alignment vertical="center" wrapText="1"/>
      <protection locked="0"/>
    </xf>
    <xf numFmtId="173" fontId="4" fillId="39" borderId="10" xfId="0" applyNumberFormat="1" applyFont="1" applyFill="1" applyBorder="1" applyAlignment="1" applyProtection="1">
      <alignment vertical="center" wrapText="1"/>
      <protection locked="0"/>
    </xf>
    <xf numFmtId="173" fontId="4" fillId="40" borderId="10" xfId="0" applyNumberFormat="1" applyFont="1" applyFill="1" applyBorder="1" applyAlignment="1" applyProtection="1">
      <alignment vertical="center" wrapText="1"/>
      <protection locked="0"/>
    </xf>
    <xf numFmtId="0" fontId="4" fillId="37" borderId="10" xfId="0" applyFont="1" applyFill="1" applyBorder="1" applyAlignment="1" applyProtection="1">
      <alignment vertical="center" wrapText="1"/>
      <protection locked="0"/>
    </xf>
    <xf numFmtId="0" fontId="7" fillId="0" borderId="12" xfId="0" applyFont="1" applyBorder="1" applyAlignment="1" applyProtection="1">
      <alignment horizontal="left" vertical="top" wrapText="1"/>
      <protection locked="0"/>
    </xf>
    <xf numFmtId="173" fontId="7" fillId="0" borderId="13" xfId="0" applyNumberFormat="1" applyFont="1" applyBorder="1" applyAlignment="1" applyProtection="1">
      <alignment horizontal="left" vertical="top" wrapText="1"/>
      <protection locked="0"/>
    </xf>
    <xf numFmtId="0" fontId="7" fillId="40" borderId="12" xfId="0" applyFont="1" applyFill="1" applyBorder="1" applyAlignment="1" applyProtection="1">
      <alignment horizontal="left" vertical="top" wrapText="1"/>
      <protection locked="0"/>
    </xf>
    <xf numFmtId="173" fontId="5" fillId="39" borderId="10" xfId="0" applyNumberFormat="1" applyFont="1" applyFill="1" applyBorder="1" applyAlignment="1" applyProtection="1">
      <alignment vertical="center" wrapText="1"/>
      <protection locked="0"/>
    </xf>
    <xf numFmtId="173" fontId="5" fillId="40" borderId="10" xfId="0" applyNumberFormat="1" applyFont="1" applyFill="1" applyBorder="1" applyAlignment="1" applyProtection="1">
      <alignment vertical="center" wrapText="1"/>
      <protection locked="0"/>
    </xf>
    <xf numFmtId="173" fontId="4" fillId="0" borderId="0" xfId="0" applyNumberFormat="1" applyFont="1" applyAlignment="1" applyProtection="1">
      <alignment horizontal="right" vertical="center" wrapText="1"/>
      <protection locked="0"/>
    </xf>
    <xf numFmtId="183" fontId="4" fillId="0" borderId="10" xfId="0" applyNumberFormat="1" applyFont="1" applyBorder="1" applyAlignment="1" applyProtection="1">
      <alignment horizontal="right" vertical="center" wrapText="1"/>
      <protection locked="0"/>
    </xf>
    <xf numFmtId="173" fontId="5" fillId="36" borderId="18" xfId="0" applyNumberFormat="1" applyFont="1" applyFill="1" applyBorder="1" applyAlignment="1" applyProtection="1">
      <alignment horizontal="right" vertical="center"/>
      <protection locked="0"/>
    </xf>
    <xf numFmtId="183" fontId="4" fillId="0" borderId="10" xfId="0" applyNumberFormat="1"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173" fontId="5" fillId="0" borderId="10" xfId="0" applyNumberFormat="1" applyFont="1" applyBorder="1" applyAlignment="1" applyProtection="1">
      <alignment horizontal="right" vertical="center" wrapText="1"/>
      <protection locked="0"/>
    </xf>
    <xf numFmtId="173" fontId="4" fillId="36" borderId="10" xfId="0" applyNumberFormat="1" applyFont="1" applyFill="1" applyBorder="1" applyAlignment="1" applyProtection="1">
      <alignment vertical="center" wrapText="1"/>
      <protection locked="0"/>
    </xf>
    <xf numFmtId="172" fontId="4" fillId="0" borderId="0" xfId="0" applyNumberFormat="1" applyFont="1" applyAlignment="1" applyProtection="1">
      <alignment vertical="center"/>
      <protection locked="0"/>
    </xf>
    <xf numFmtId="0" fontId="4" fillId="0" borderId="13" xfId="0" applyFont="1" applyBorder="1" applyAlignment="1" applyProtection="1">
      <alignment vertical="center" wrapText="1"/>
      <protection locked="0"/>
    </xf>
    <xf numFmtId="173" fontId="4" fillId="0" borderId="13" xfId="0" applyNumberFormat="1" applyFont="1" applyBorder="1" applyAlignment="1" applyProtection="1">
      <alignment horizontal="right" vertical="center" wrapText="1"/>
      <protection locked="0"/>
    </xf>
    <xf numFmtId="173" fontId="4" fillId="0" borderId="16" xfId="0" applyNumberFormat="1" applyFont="1" applyBorder="1" applyAlignment="1" applyProtection="1">
      <alignment horizontal="right" vertical="center"/>
      <protection locked="0"/>
    </xf>
    <xf numFmtId="173" fontId="4" fillId="36" borderId="13" xfId="0" applyNumberFormat="1" applyFont="1" applyFill="1" applyBorder="1" applyAlignment="1" applyProtection="1">
      <alignment horizontal="right" vertical="center" wrapText="1"/>
      <protection locked="0"/>
    </xf>
    <xf numFmtId="0" fontId="4" fillId="0" borderId="14" xfId="0" applyFont="1" applyBorder="1" applyAlignment="1" applyProtection="1">
      <alignment horizontal="center" vertical="center" wrapText="1"/>
      <protection locked="0"/>
    </xf>
    <xf numFmtId="173" fontId="5" fillId="36" borderId="13" xfId="0" applyNumberFormat="1" applyFont="1" applyFill="1" applyBorder="1" applyAlignment="1" applyProtection="1">
      <alignment horizontal="right" vertical="center" wrapText="1"/>
      <protection locked="0"/>
    </xf>
    <xf numFmtId="173" fontId="4" fillId="41" borderId="11" xfId="0" applyNumberFormat="1" applyFont="1" applyFill="1" applyBorder="1" applyAlignment="1" applyProtection="1">
      <alignment vertical="center" wrapText="1"/>
      <protection locked="0"/>
    </xf>
    <xf numFmtId="173" fontId="4" fillId="41" borderId="11" xfId="0" applyNumberFormat="1" applyFont="1" applyFill="1" applyBorder="1" applyAlignment="1" applyProtection="1">
      <alignment horizontal="right" vertical="center"/>
      <protection locked="0"/>
    </xf>
    <xf numFmtId="173" fontId="4" fillId="41" borderId="10" xfId="0" applyNumberFormat="1" applyFont="1" applyFill="1" applyBorder="1" applyAlignment="1" applyProtection="1">
      <alignment vertical="center" wrapText="1"/>
      <protection locked="0"/>
    </xf>
    <xf numFmtId="4" fontId="4" fillId="0" borderId="0" xfId="0" applyNumberFormat="1" applyFont="1" applyAlignment="1" applyProtection="1">
      <alignment vertical="center"/>
      <protection locked="0"/>
    </xf>
    <xf numFmtId="0" fontId="4" fillId="37" borderId="13" xfId="0" applyFont="1" applyFill="1" applyBorder="1" applyAlignment="1" applyProtection="1">
      <alignment vertical="center" wrapText="1"/>
      <protection locked="0"/>
    </xf>
    <xf numFmtId="172" fontId="4" fillId="0" borderId="10" xfId="0" applyNumberFormat="1" applyFont="1" applyBorder="1" applyAlignment="1" applyProtection="1">
      <alignment vertical="center"/>
      <protection locked="0"/>
    </xf>
    <xf numFmtId="4" fontId="4" fillId="0" borderId="10" xfId="0" applyNumberFormat="1" applyFont="1" applyBorder="1" applyAlignment="1" applyProtection="1">
      <alignment horizontal="right" vertical="center" wrapText="1"/>
      <protection locked="0"/>
    </xf>
    <xf numFmtId="173" fontId="4" fillId="0" borderId="14" xfId="0" applyNumberFormat="1" applyFont="1" applyBorder="1" applyAlignment="1" applyProtection="1">
      <alignment vertical="center" wrapText="1"/>
      <protection locked="0"/>
    </xf>
    <xf numFmtId="0" fontId="4" fillId="0" borderId="15" xfId="0" applyFont="1" applyBorder="1" applyAlignment="1" applyProtection="1">
      <alignment vertical="center"/>
      <protection locked="0"/>
    </xf>
    <xf numFmtId="0" fontId="4" fillId="36" borderId="15" xfId="0" applyFont="1" applyFill="1" applyBorder="1" applyAlignment="1" applyProtection="1">
      <alignment vertical="center"/>
      <protection locked="0"/>
    </xf>
    <xf numFmtId="173" fontId="5" fillId="36" borderId="16" xfId="0" applyNumberFormat="1" applyFont="1" applyFill="1" applyBorder="1" applyAlignment="1" applyProtection="1">
      <alignment vertical="center" wrapText="1"/>
      <protection locked="0"/>
    </xf>
    <xf numFmtId="173" fontId="5" fillId="36" borderId="11" xfId="0" applyNumberFormat="1" applyFont="1" applyFill="1" applyBorder="1" applyAlignment="1" applyProtection="1">
      <alignment horizontal="right" vertical="center"/>
      <protection locked="0"/>
    </xf>
    <xf numFmtId="173" fontId="5" fillId="36" borderId="16" xfId="0" applyNumberFormat="1" applyFont="1" applyFill="1" applyBorder="1" applyAlignment="1" applyProtection="1">
      <alignment horizontal="right" vertical="center"/>
      <protection locked="0"/>
    </xf>
    <xf numFmtId="173" fontId="4" fillId="0" borderId="16" xfId="0" applyNumberFormat="1" applyFont="1" applyBorder="1" applyAlignment="1" applyProtection="1">
      <alignment vertical="center" wrapText="1"/>
      <protection locked="0"/>
    </xf>
    <xf numFmtId="173" fontId="4" fillId="39" borderId="14" xfId="0" applyNumberFormat="1" applyFont="1" applyFill="1" applyBorder="1" applyAlignment="1" applyProtection="1">
      <alignment vertical="center" wrapText="1"/>
      <protection locked="0"/>
    </xf>
    <xf numFmtId="0" fontId="7" fillId="40" borderId="13" xfId="0" applyFont="1" applyFill="1" applyBorder="1" applyAlignment="1" applyProtection="1">
      <alignment horizontal="left" vertical="top" wrapText="1"/>
      <protection locked="0"/>
    </xf>
    <xf numFmtId="175" fontId="4" fillId="40" borderId="0" xfId="0" applyNumberFormat="1" applyFont="1" applyFill="1" applyAlignment="1" applyProtection="1">
      <alignment horizontal="right" vertical="center"/>
      <protection locked="0"/>
    </xf>
    <xf numFmtId="0" fontId="4" fillId="37" borderId="13" xfId="0" applyFont="1" applyFill="1" applyBorder="1" applyAlignment="1" applyProtection="1">
      <alignment horizontal="left" vertical="center" wrapText="1"/>
      <protection locked="0"/>
    </xf>
    <xf numFmtId="0" fontId="4" fillId="38" borderId="10" xfId="0" applyFont="1" applyFill="1" applyBorder="1" applyAlignment="1" applyProtection="1">
      <alignment horizontal="center" vertical="center" wrapText="1"/>
      <protection locked="0"/>
    </xf>
    <xf numFmtId="175" fontId="4" fillId="0" borderId="15" xfId="0" applyNumberFormat="1" applyFont="1" applyBorder="1" applyAlignment="1" applyProtection="1">
      <alignment vertical="center" wrapText="1"/>
      <protection locked="0"/>
    </xf>
    <xf numFmtId="4" fontId="5" fillId="0" borderId="13" xfId="0" applyNumberFormat="1"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173" fontId="5" fillId="36" borderId="11" xfId="0" applyNumberFormat="1"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173" fontId="4" fillId="0" borderId="0" xfId="0" applyNumberFormat="1" applyFont="1" applyAlignment="1" applyProtection="1">
      <alignment vertical="center" wrapText="1"/>
      <protection locked="0"/>
    </xf>
    <xf numFmtId="0" fontId="4" fillId="36" borderId="0" xfId="0" applyFont="1" applyFill="1" applyAlignment="1" applyProtection="1">
      <alignment vertical="center" wrapText="1"/>
      <protection locked="0"/>
    </xf>
    <xf numFmtId="0" fontId="5" fillId="0" borderId="0" xfId="0" applyFont="1" applyAlignment="1" applyProtection="1">
      <alignment vertical="center"/>
      <protection locked="0"/>
    </xf>
    <xf numFmtId="0" fontId="4" fillId="36" borderId="0" xfId="0" applyFont="1" applyFill="1" applyAlignment="1" applyProtection="1">
      <alignment vertical="center"/>
      <protection locked="0"/>
    </xf>
    <xf numFmtId="0" fontId="5" fillId="36" borderId="0" xfId="0" applyFont="1" applyFill="1" applyAlignment="1" applyProtection="1">
      <alignment vertical="center"/>
      <protection locked="0"/>
    </xf>
    <xf numFmtId="173" fontId="5" fillId="0" borderId="0" xfId="0" applyNumberFormat="1" applyFont="1" applyAlignment="1" applyProtection="1">
      <alignment vertical="center"/>
      <protection locked="0"/>
    </xf>
    <xf numFmtId="173" fontId="7" fillId="0" borderId="0" xfId="0" applyNumberFormat="1" applyFont="1" applyAlignment="1" applyProtection="1">
      <alignment horizontal="left" vertical="top"/>
      <protection locked="0"/>
    </xf>
    <xf numFmtId="0" fontId="4" fillId="36" borderId="0" xfId="0" applyFont="1" applyFill="1" applyAlignment="1" applyProtection="1">
      <alignment horizontal="left" vertical="center"/>
      <protection locked="0"/>
    </xf>
    <xf numFmtId="173" fontId="4" fillId="36" borderId="0" xfId="0" applyNumberFormat="1" applyFont="1" applyFill="1" applyAlignment="1" applyProtection="1">
      <alignment vertical="center" wrapText="1"/>
      <protection locked="0"/>
    </xf>
    <xf numFmtId="0" fontId="4" fillId="0" borderId="0" xfId="0" applyFont="1" applyAlignment="1" applyProtection="1">
      <alignment horizontal="left" vertical="center" wrapText="1"/>
      <protection locked="0"/>
    </xf>
    <xf numFmtId="173" fontId="4" fillId="36" borderId="0" xfId="0" applyNumberFormat="1" applyFont="1" applyFill="1" applyAlignment="1" applyProtection="1">
      <alignment vertical="center"/>
      <protection locked="0"/>
    </xf>
    <xf numFmtId="178" fontId="4" fillId="36" borderId="0" xfId="0" applyNumberFormat="1" applyFont="1" applyFill="1" applyAlignment="1" applyProtection="1">
      <alignment vertical="center" wrapText="1"/>
      <protection locked="0"/>
    </xf>
    <xf numFmtId="178" fontId="4" fillId="36" borderId="0" xfId="0" applyNumberFormat="1" applyFont="1" applyFill="1" applyAlignment="1" applyProtection="1">
      <alignment vertical="center"/>
      <protection locked="0"/>
    </xf>
    <xf numFmtId="2" fontId="5" fillId="0" borderId="0" xfId="0" applyNumberFormat="1" applyFont="1" applyAlignment="1" applyProtection="1">
      <alignment horizontal="left" vertical="center" wrapText="1"/>
      <protection locked="0"/>
    </xf>
    <xf numFmtId="0" fontId="4" fillId="38" borderId="0" xfId="0" applyFont="1" applyFill="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36" borderId="0" xfId="0" applyFont="1" applyFill="1" applyAlignment="1" applyProtection="1">
      <alignment horizontal="center" vertical="center" wrapText="1"/>
      <protection locked="0"/>
    </xf>
    <xf numFmtId="0" fontId="4" fillId="36" borderId="15" xfId="0" applyFont="1" applyFill="1" applyBorder="1" applyAlignment="1" applyProtection="1">
      <alignment vertical="center" wrapText="1"/>
      <protection locked="0"/>
    </xf>
    <xf numFmtId="0" fontId="4" fillId="36" borderId="0" xfId="0" applyFont="1" applyFill="1" applyAlignment="1" applyProtection="1">
      <alignment horizontal="left" vertical="center" wrapText="1"/>
      <protection locked="0"/>
    </xf>
    <xf numFmtId="173" fontId="13" fillId="0" borderId="10" xfId="0" applyNumberFormat="1" applyFont="1" applyBorder="1" applyAlignment="1" applyProtection="1">
      <alignment horizontal="right" vertical="center"/>
      <protection locked="0"/>
    </xf>
    <xf numFmtId="173" fontId="5" fillId="38" borderId="10" xfId="0" applyNumberFormat="1" applyFont="1" applyFill="1" applyBorder="1" applyAlignment="1" applyProtection="1">
      <alignment horizontal="right" vertical="center"/>
      <protection locked="0"/>
    </xf>
    <xf numFmtId="173" fontId="5" fillId="38" borderId="11" xfId="0" applyNumberFormat="1" applyFont="1" applyFill="1" applyBorder="1" applyAlignment="1" applyProtection="1">
      <alignment horizontal="right" vertical="center"/>
      <protection locked="0"/>
    </xf>
    <xf numFmtId="0" fontId="5" fillId="0" borderId="15"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173" fontId="5" fillId="0" borderId="0" xfId="0" applyNumberFormat="1" applyFont="1" applyAlignment="1" applyProtection="1">
      <alignment vertical="center" wrapText="1"/>
      <protection locked="0"/>
    </xf>
    <xf numFmtId="1" fontId="5" fillId="36" borderId="20" xfId="0" applyNumberFormat="1" applyFont="1" applyFill="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protection locked="0"/>
    </xf>
    <xf numFmtId="173" fontId="13" fillId="0" borderId="11" xfId="0" applyNumberFormat="1" applyFont="1" applyBorder="1" applyAlignment="1" applyProtection="1">
      <alignment horizontal="right" vertical="center"/>
      <protection locked="0"/>
    </xf>
    <xf numFmtId="192" fontId="4" fillId="36" borderId="10" xfId="0" applyNumberFormat="1" applyFont="1" applyFill="1" applyBorder="1" applyAlignment="1" applyProtection="1">
      <alignment horizontal="right" vertical="center" wrapText="1"/>
      <protection locked="0"/>
    </xf>
    <xf numFmtId="172" fontId="5" fillId="36" borderId="10" xfId="0" applyNumberFormat="1" applyFont="1" applyFill="1" applyBorder="1" applyAlignment="1" applyProtection="1">
      <alignment horizontal="right" vertical="center"/>
      <protection locked="0"/>
    </xf>
    <xf numFmtId="0" fontId="5" fillId="36" borderId="15" xfId="0" applyFont="1" applyFill="1" applyBorder="1" applyAlignment="1" applyProtection="1">
      <alignment vertical="center"/>
      <protection locked="0"/>
    </xf>
    <xf numFmtId="0" fontId="5" fillId="36" borderId="0" xfId="0" applyFont="1" applyFill="1" applyAlignment="1" applyProtection="1">
      <alignment horizontal="left" vertical="center"/>
      <protection locked="0"/>
    </xf>
    <xf numFmtId="0" fontId="5" fillId="36" borderId="0" xfId="0" applyFont="1" applyFill="1" applyAlignment="1" applyProtection="1">
      <alignment vertical="center" wrapText="1"/>
      <protection locked="0"/>
    </xf>
    <xf numFmtId="173" fontId="5" fillId="38" borderId="10" xfId="0" applyNumberFormat="1" applyFont="1" applyFill="1" applyBorder="1" applyAlignment="1" applyProtection="1">
      <alignment vertical="center" wrapText="1"/>
      <protection locked="0"/>
    </xf>
    <xf numFmtId="173" fontId="5" fillId="0" borderId="12" xfId="0" applyNumberFormat="1" applyFont="1" applyBorder="1" applyAlignment="1" applyProtection="1">
      <alignment vertical="center" wrapText="1"/>
      <protection locked="0"/>
    </xf>
    <xf numFmtId="173" fontId="5" fillId="0" borderId="18" xfId="0" applyNumberFormat="1" applyFont="1" applyBorder="1" applyAlignment="1" applyProtection="1">
      <alignment vertical="center"/>
      <protection locked="0"/>
    </xf>
    <xf numFmtId="173" fontId="5" fillId="0" borderId="0" xfId="0" applyNumberFormat="1" applyFont="1" applyAlignment="1" applyProtection="1">
      <alignment horizontal="left" vertical="center"/>
      <protection locked="0"/>
    </xf>
    <xf numFmtId="0" fontId="11" fillId="0" borderId="12" xfId="0" applyFont="1" applyBorder="1" applyAlignment="1" applyProtection="1">
      <alignment horizontal="left" vertical="top" wrapText="1" shrinkToFit="1"/>
      <protection locked="0"/>
    </xf>
    <xf numFmtId="0" fontId="7" fillId="37" borderId="12" xfId="0" applyFont="1" applyFill="1" applyBorder="1" applyAlignment="1" applyProtection="1">
      <alignment horizontal="left" vertical="top" wrapText="1"/>
      <protection locked="0"/>
    </xf>
    <xf numFmtId="0" fontId="7" fillId="38" borderId="0" xfId="0" applyFont="1" applyFill="1" applyAlignment="1" applyProtection="1">
      <alignment horizontal="left" vertical="top"/>
      <protection locked="0"/>
    </xf>
    <xf numFmtId="0" fontId="7" fillId="41" borderId="12" xfId="0" applyFont="1" applyFill="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173" fontId="7" fillId="0" borderId="0" xfId="0" applyNumberFormat="1"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173" fontId="7" fillId="0" borderId="10" xfId="0" applyNumberFormat="1" applyFont="1" applyBorder="1" applyAlignment="1" applyProtection="1">
      <alignment horizontal="left" vertical="top" wrapText="1"/>
      <protection locked="0"/>
    </xf>
    <xf numFmtId="0" fontId="4" fillId="32" borderId="10" xfId="0" applyFont="1" applyFill="1" applyBorder="1" applyAlignment="1" applyProtection="1">
      <alignment horizontal="center" vertical="center" wrapText="1"/>
      <protection locked="0"/>
    </xf>
    <xf numFmtId="2" fontId="5" fillId="32" borderId="0" xfId="0" applyNumberFormat="1" applyFont="1" applyFill="1" applyAlignment="1" applyProtection="1">
      <alignment horizontal="left" vertical="center"/>
      <protection locked="0"/>
    </xf>
    <xf numFmtId="0" fontId="5" fillId="32" borderId="22" xfId="0" applyFont="1" applyFill="1" applyBorder="1" applyAlignment="1" applyProtection="1">
      <alignment horizontal="center"/>
      <protection locked="0"/>
    </xf>
    <xf numFmtId="0" fontId="4" fillId="32" borderId="22" xfId="0" applyFont="1" applyFill="1" applyBorder="1" applyAlignment="1" applyProtection="1">
      <alignment horizontal="center" vertical="center"/>
      <protection locked="0"/>
    </xf>
    <xf numFmtId="0" fontId="4" fillId="32" borderId="22" xfId="0" applyFont="1" applyFill="1" applyBorder="1" applyAlignment="1" applyProtection="1">
      <alignment vertical="center"/>
      <protection locked="0"/>
    </xf>
    <xf numFmtId="0" fontId="4" fillId="32" borderId="0" xfId="0" applyFont="1" applyFill="1" applyBorder="1" applyAlignment="1" applyProtection="1">
      <alignment vertical="center"/>
      <protection locked="0"/>
    </xf>
    <xf numFmtId="1" fontId="4" fillId="32" borderId="17" xfId="0" applyNumberFormat="1" applyFont="1" applyFill="1" applyBorder="1" applyAlignment="1" applyProtection="1">
      <alignment horizontal="center" vertical="center" wrapText="1"/>
      <protection locked="0"/>
    </xf>
    <xf numFmtId="1" fontId="4" fillId="32" borderId="21" xfId="0" applyNumberFormat="1"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173" fontId="5" fillId="32" borderId="10" xfId="0" applyNumberFormat="1" applyFont="1" applyFill="1" applyBorder="1" applyAlignment="1" applyProtection="1">
      <alignment horizontal="center" vertical="center" wrapText="1"/>
      <protection locked="0"/>
    </xf>
    <xf numFmtId="0" fontId="4" fillId="32" borderId="11" xfId="0" applyFont="1" applyFill="1" applyBorder="1" applyAlignment="1" applyProtection="1">
      <alignment horizontal="center" vertical="center" wrapText="1"/>
      <protection locked="0"/>
    </xf>
    <xf numFmtId="0" fontId="5" fillId="32" borderId="16" xfId="0" applyFont="1" applyFill="1" applyBorder="1" applyAlignment="1" applyProtection="1">
      <alignment vertical="center" wrapText="1"/>
      <protection locked="0"/>
    </xf>
    <xf numFmtId="173" fontId="5" fillId="32" borderId="13" xfId="67" applyNumberFormat="1" applyFont="1" applyFill="1" applyBorder="1" applyAlignment="1" applyProtection="1">
      <alignment vertical="center" wrapText="1"/>
      <protection locked="0"/>
    </xf>
    <xf numFmtId="173" fontId="5" fillId="32" borderId="10" xfId="0" applyNumberFormat="1" applyFont="1" applyFill="1" applyBorder="1" applyAlignment="1" applyProtection="1">
      <alignment horizontal="right" vertical="center"/>
      <protection locked="0"/>
    </xf>
    <xf numFmtId="173" fontId="5" fillId="32" borderId="13" xfId="0" applyNumberFormat="1" applyFont="1" applyFill="1" applyBorder="1" applyAlignment="1" applyProtection="1">
      <alignment horizontal="right" vertical="center"/>
      <protection locked="0"/>
    </xf>
    <xf numFmtId="173" fontId="5" fillId="32" borderId="10" xfId="67" applyNumberFormat="1" applyFont="1" applyFill="1" applyBorder="1" applyAlignment="1" applyProtection="1">
      <alignment horizontal="right" vertical="center"/>
      <protection locked="0"/>
    </xf>
    <xf numFmtId="173" fontId="5" fillId="32" borderId="10" xfId="0" applyNumberFormat="1" applyFont="1" applyFill="1" applyBorder="1" applyAlignment="1" applyProtection="1">
      <alignment vertical="center" wrapText="1"/>
      <protection locked="0"/>
    </xf>
    <xf numFmtId="0" fontId="6" fillId="32" borderId="14" xfId="0" applyFont="1" applyFill="1" applyBorder="1" applyAlignment="1" applyProtection="1">
      <alignment vertical="center" wrapText="1"/>
      <protection locked="0"/>
    </xf>
    <xf numFmtId="173" fontId="11" fillId="32" borderId="15" xfId="67" applyNumberFormat="1" applyFont="1" applyFill="1" applyBorder="1" applyAlignment="1" applyProtection="1">
      <alignment vertical="center" wrapText="1"/>
      <protection locked="0"/>
    </xf>
    <xf numFmtId="173" fontId="5" fillId="32" borderId="15" xfId="0" applyNumberFormat="1" applyFont="1" applyFill="1" applyBorder="1" applyAlignment="1" applyProtection="1">
      <alignment horizontal="right" vertical="center"/>
      <protection locked="0"/>
    </xf>
    <xf numFmtId="173" fontId="5" fillId="32" borderId="15" xfId="67" applyNumberFormat="1" applyFont="1" applyFill="1" applyBorder="1" applyAlignment="1" applyProtection="1">
      <alignment vertical="center" wrapText="1"/>
      <protection locked="0"/>
    </xf>
    <xf numFmtId="0" fontId="4" fillId="32" borderId="15" xfId="0" applyFont="1" applyFill="1" applyBorder="1" applyAlignment="1">
      <alignment wrapText="1"/>
    </xf>
    <xf numFmtId="173" fontId="4" fillId="32" borderId="18" xfId="0" applyNumberFormat="1" applyFont="1" applyFill="1" applyBorder="1" applyAlignment="1">
      <alignment wrapText="1"/>
    </xf>
    <xf numFmtId="0" fontId="4" fillId="32" borderId="10" xfId="0" applyFont="1" applyFill="1" applyBorder="1" applyAlignment="1" applyProtection="1">
      <alignment vertical="top" wrapText="1"/>
      <protection locked="0"/>
    </xf>
    <xf numFmtId="175" fontId="4" fillId="32" borderId="10" xfId="0" applyNumberFormat="1" applyFont="1" applyFill="1" applyBorder="1" applyAlignment="1" applyProtection="1">
      <alignment vertical="top" wrapText="1"/>
      <protection locked="0"/>
    </xf>
    <xf numFmtId="173" fontId="4" fillId="32" borderId="10" xfId="0" applyNumberFormat="1" applyFont="1" applyFill="1" applyBorder="1" applyAlignment="1" applyProtection="1">
      <alignment horizontal="right" vertical="center"/>
      <protection locked="0"/>
    </xf>
    <xf numFmtId="173" fontId="4" fillId="32" borderId="11" xfId="0" applyNumberFormat="1" applyFont="1" applyFill="1" applyBorder="1" applyAlignment="1" applyProtection="1">
      <alignment horizontal="right" vertical="center"/>
      <protection locked="0"/>
    </xf>
    <xf numFmtId="173" fontId="4" fillId="32" borderId="10" xfId="0" applyNumberFormat="1" applyFont="1" applyFill="1" applyBorder="1" applyAlignment="1" applyProtection="1">
      <alignment horizontal="right" vertical="center"/>
      <protection locked="0"/>
    </xf>
    <xf numFmtId="4" fontId="53" fillId="32" borderId="10" xfId="0" applyNumberFormat="1" applyFont="1" applyFill="1" applyBorder="1" applyAlignment="1" applyProtection="1">
      <alignment horizontal="right" vertical="center"/>
      <protection locked="0"/>
    </xf>
    <xf numFmtId="173" fontId="4" fillId="32" borderId="10" xfId="0" applyNumberFormat="1" applyFont="1" applyFill="1" applyBorder="1" applyAlignment="1" applyProtection="1">
      <alignment vertical="center" wrapText="1"/>
      <protection locked="0"/>
    </xf>
    <xf numFmtId="175" fontId="4" fillId="32" borderId="10" xfId="0" applyNumberFormat="1" applyFont="1" applyFill="1" applyBorder="1" applyAlignment="1" applyProtection="1">
      <alignment vertical="center" wrapText="1"/>
      <protection locked="0"/>
    </xf>
    <xf numFmtId="175" fontId="4" fillId="32" borderId="10" xfId="67" applyNumberFormat="1" applyFont="1" applyFill="1" applyBorder="1" applyAlignment="1" applyProtection="1">
      <alignment vertical="center" wrapText="1"/>
      <protection locked="0"/>
    </xf>
    <xf numFmtId="0" fontId="4" fillId="32" borderId="13" xfId="0" applyFont="1" applyFill="1" applyBorder="1" applyAlignment="1" applyProtection="1">
      <alignment vertical="center" wrapText="1"/>
      <protection locked="0"/>
    </xf>
    <xf numFmtId="173" fontId="4" fillId="32" borderId="13" xfId="0" applyNumberFormat="1" applyFont="1" applyFill="1" applyBorder="1" applyAlignment="1" applyProtection="1">
      <alignment horizontal="right" vertical="center"/>
      <protection locked="0"/>
    </xf>
    <xf numFmtId="173" fontId="4" fillId="32" borderId="13" xfId="0" applyNumberFormat="1" applyFont="1" applyFill="1" applyBorder="1" applyAlignment="1" applyProtection="1">
      <alignment horizontal="right" vertical="center" wrapText="1"/>
      <protection locked="0"/>
    </xf>
    <xf numFmtId="175" fontId="4" fillId="32" borderId="16" xfId="67" applyNumberFormat="1" applyFont="1" applyFill="1" applyBorder="1" applyAlignment="1" applyProtection="1">
      <alignment vertical="center" wrapText="1"/>
      <protection locked="0"/>
    </xf>
    <xf numFmtId="175" fontId="4" fillId="32" borderId="16" xfId="0" applyNumberFormat="1" applyFont="1" applyFill="1" applyBorder="1" applyAlignment="1" applyProtection="1">
      <alignment vertical="center" wrapText="1"/>
      <protection locked="0"/>
    </xf>
    <xf numFmtId="173" fontId="4" fillId="32" borderId="16" xfId="0" applyNumberFormat="1" applyFont="1" applyFill="1" applyBorder="1" applyAlignment="1" applyProtection="1">
      <alignment horizontal="right" vertical="center"/>
      <protection locked="0"/>
    </xf>
    <xf numFmtId="173" fontId="4" fillId="32" borderId="13" xfId="67" applyNumberFormat="1" applyFont="1" applyFill="1" applyBorder="1" applyAlignment="1" applyProtection="1">
      <alignment vertical="center" wrapText="1"/>
      <protection locked="0"/>
    </xf>
    <xf numFmtId="173" fontId="53" fillId="32" borderId="13" xfId="0" applyNumberFormat="1" applyFont="1" applyFill="1" applyBorder="1" applyAlignment="1" applyProtection="1">
      <alignment horizontal="right" vertical="center"/>
      <protection locked="0"/>
    </xf>
    <xf numFmtId="173" fontId="4" fillId="32" borderId="16" xfId="67" applyNumberFormat="1" applyFont="1" applyFill="1" applyBorder="1" applyAlignment="1" applyProtection="1">
      <alignment vertical="center" wrapText="1"/>
      <protection locked="0"/>
    </xf>
    <xf numFmtId="173" fontId="4" fillId="32" borderId="16" xfId="0" applyNumberFormat="1" applyFont="1" applyFill="1" applyBorder="1" applyAlignment="1" applyProtection="1">
      <alignment vertical="center" wrapText="1"/>
      <protection locked="0"/>
    </xf>
    <xf numFmtId="173" fontId="4" fillId="32" borderId="10" xfId="67" applyNumberFormat="1" applyFont="1" applyFill="1" applyBorder="1" applyAlignment="1" applyProtection="1">
      <alignment vertical="center" wrapText="1"/>
      <protection locked="0"/>
    </xf>
    <xf numFmtId="173" fontId="14" fillId="32" borderId="10" xfId="0" applyNumberFormat="1" applyFont="1" applyFill="1" applyBorder="1" applyAlignment="1" applyProtection="1">
      <alignment horizontal="right" vertical="center"/>
      <protection locked="0"/>
    </xf>
    <xf numFmtId="173" fontId="6" fillId="32" borderId="10" xfId="67" applyNumberFormat="1" applyFont="1" applyFill="1" applyBorder="1" applyAlignment="1" applyProtection="1">
      <alignment vertical="center" wrapText="1"/>
      <protection locked="0"/>
    </xf>
    <xf numFmtId="173" fontId="6" fillId="32" borderId="10" xfId="0" applyNumberFormat="1" applyFont="1" applyFill="1" applyBorder="1" applyAlignment="1" applyProtection="1">
      <alignment vertical="center" wrapText="1"/>
      <protection locked="0"/>
    </xf>
    <xf numFmtId="173" fontId="6" fillId="32" borderId="10" xfId="0" applyNumberFormat="1" applyFont="1" applyFill="1" applyBorder="1" applyAlignment="1" applyProtection="1">
      <alignment horizontal="right" vertical="center"/>
      <protection locked="0"/>
    </xf>
    <xf numFmtId="0" fontId="5" fillId="32" borderId="13" xfId="0" applyFont="1" applyFill="1" applyBorder="1" applyAlignment="1" applyProtection="1">
      <alignment vertical="center" wrapText="1"/>
      <protection/>
    </xf>
    <xf numFmtId="173" fontId="5" fillId="32" borderId="13" xfId="67" applyNumberFormat="1" applyFont="1" applyFill="1" applyBorder="1" applyAlignment="1" applyProtection="1">
      <alignment vertical="center" wrapText="1"/>
      <protection/>
    </xf>
    <xf numFmtId="173" fontId="4" fillId="32" borderId="13" xfId="0" applyNumberFormat="1" applyFont="1" applyFill="1" applyBorder="1" applyAlignment="1" applyProtection="1">
      <alignment vertical="center" wrapText="1"/>
      <protection/>
    </xf>
    <xf numFmtId="173" fontId="5" fillId="32" borderId="16" xfId="67" applyNumberFormat="1" applyFont="1" applyFill="1" applyBorder="1" applyAlignment="1" applyProtection="1">
      <alignment vertical="center" wrapText="1"/>
      <protection/>
    </xf>
    <xf numFmtId="173" fontId="5" fillId="32" borderId="16" xfId="0" applyNumberFormat="1" applyFont="1" applyFill="1" applyBorder="1" applyAlignment="1" applyProtection="1">
      <alignment horizontal="right" vertical="center"/>
      <protection/>
    </xf>
    <xf numFmtId="0" fontId="4" fillId="32" borderId="0" xfId="0" applyFont="1" applyFill="1" applyBorder="1" applyAlignment="1" applyProtection="1">
      <alignment vertical="center"/>
      <protection/>
    </xf>
    <xf numFmtId="0" fontId="4" fillId="32" borderId="14" xfId="0" applyFont="1" applyFill="1" applyBorder="1" applyAlignment="1" applyProtection="1">
      <alignment vertical="top" wrapText="1"/>
      <protection/>
    </xf>
    <xf numFmtId="0" fontId="4" fillId="32" borderId="15" xfId="0" applyFont="1" applyFill="1" applyBorder="1" applyAlignment="1" applyProtection="1">
      <alignment vertical="top" wrapText="1"/>
      <protection/>
    </xf>
    <xf numFmtId="173" fontId="5" fillId="32" borderId="18" xfId="0" applyNumberFormat="1" applyFont="1" applyFill="1" applyBorder="1" applyAlignment="1" applyProtection="1">
      <alignment horizontal="right" vertical="center"/>
      <protection/>
    </xf>
    <xf numFmtId="0" fontId="4" fillId="32" borderId="11" xfId="0" applyFont="1" applyFill="1" applyBorder="1" applyAlignment="1" applyProtection="1">
      <alignment vertical="center" wrapText="1"/>
      <protection/>
    </xf>
    <xf numFmtId="173" fontId="4" fillId="32" borderId="11" xfId="67" applyNumberFormat="1" applyFont="1" applyFill="1" applyBorder="1" applyAlignment="1" applyProtection="1">
      <alignment vertical="center" wrapText="1"/>
      <protection/>
    </xf>
    <xf numFmtId="173" fontId="4" fillId="32" borderId="11" xfId="0" applyNumberFormat="1" applyFont="1" applyFill="1" applyBorder="1" applyAlignment="1" applyProtection="1">
      <alignment horizontal="right" vertical="center"/>
      <protection/>
    </xf>
    <xf numFmtId="173" fontId="4" fillId="32" borderId="11" xfId="0" applyNumberFormat="1" applyFont="1" applyFill="1" applyBorder="1" applyAlignment="1" applyProtection="1">
      <alignment horizontal="right" vertical="center" wrapText="1"/>
      <protection/>
    </xf>
    <xf numFmtId="173" fontId="4" fillId="32" borderId="11" xfId="0" applyNumberFormat="1" applyFont="1" applyFill="1" applyBorder="1" applyAlignment="1" applyProtection="1">
      <alignment horizontal="right" vertical="center" wrapText="1"/>
      <protection/>
    </xf>
    <xf numFmtId="173" fontId="4" fillId="32" borderId="10" xfId="0" applyNumberFormat="1" applyFont="1" applyFill="1" applyBorder="1" applyAlignment="1" applyProtection="1">
      <alignment vertical="center" wrapText="1"/>
      <protection/>
    </xf>
    <xf numFmtId="0" fontId="4" fillId="32" borderId="10" xfId="0" applyFont="1" applyFill="1" applyBorder="1" applyAlignment="1" applyProtection="1">
      <alignment vertical="center" wrapText="1"/>
      <protection/>
    </xf>
    <xf numFmtId="173" fontId="4" fillId="32" borderId="10" xfId="0" applyNumberFormat="1" applyFont="1" applyFill="1" applyBorder="1" applyAlignment="1" applyProtection="1">
      <alignment horizontal="right" vertical="center" wrapText="1"/>
      <protection/>
    </xf>
    <xf numFmtId="173" fontId="4" fillId="32" borderId="10" xfId="0" applyNumberFormat="1" applyFont="1" applyFill="1" applyBorder="1" applyAlignment="1">
      <alignment horizontal="right" vertical="center" wrapText="1"/>
    </xf>
    <xf numFmtId="173" fontId="4" fillId="32" borderId="10" xfId="0" applyNumberFormat="1" applyFont="1" applyFill="1" applyBorder="1" applyAlignment="1" applyProtection="1">
      <alignment horizontal="right" vertical="center" wrapText="1"/>
      <protection/>
    </xf>
    <xf numFmtId="173" fontId="4" fillId="32" borderId="10" xfId="67" applyNumberFormat="1" applyFont="1" applyFill="1" applyBorder="1" applyAlignment="1" applyProtection="1">
      <alignment vertical="center" wrapText="1"/>
      <protection/>
    </xf>
    <xf numFmtId="173" fontId="4" fillId="32" borderId="10" xfId="0" applyNumberFormat="1" applyFont="1" applyFill="1" applyBorder="1" applyAlignment="1" applyProtection="1">
      <alignment horizontal="right" vertical="center"/>
      <protection/>
    </xf>
    <xf numFmtId="0" fontId="5" fillId="32" borderId="13" xfId="0" applyFont="1" applyFill="1" applyBorder="1" applyAlignment="1" applyProtection="1">
      <alignment vertical="center" wrapText="1"/>
      <protection locked="0"/>
    </xf>
    <xf numFmtId="173" fontId="4" fillId="32" borderId="13" xfId="0" applyNumberFormat="1" applyFont="1" applyFill="1" applyBorder="1" applyAlignment="1" applyProtection="1">
      <alignment vertical="center" wrapText="1"/>
      <protection locked="0"/>
    </xf>
    <xf numFmtId="173" fontId="5" fillId="32" borderId="16" xfId="67" applyNumberFormat="1" applyFont="1" applyFill="1" applyBorder="1" applyAlignment="1" applyProtection="1">
      <alignment vertical="center" wrapText="1"/>
      <protection locked="0"/>
    </xf>
    <xf numFmtId="173" fontId="5" fillId="32" borderId="16" xfId="67" applyNumberFormat="1" applyFont="1" applyFill="1" applyBorder="1" applyAlignment="1" applyProtection="1">
      <alignment horizontal="right" vertical="center" wrapText="1"/>
      <protection locked="0"/>
    </xf>
    <xf numFmtId="173" fontId="5" fillId="32" borderId="16" xfId="0" applyNumberFormat="1" applyFont="1" applyFill="1" applyBorder="1" applyAlignment="1" applyProtection="1">
      <alignment horizontal="right" vertical="center"/>
      <protection locked="0"/>
    </xf>
    <xf numFmtId="0" fontId="4" fillId="32" borderId="14" xfId="0" applyFont="1" applyFill="1" applyBorder="1" applyAlignment="1" applyProtection="1">
      <alignment vertical="top" wrapText="1"/>
      <protection locked="0"/>
    </xf>
    <xf numFmtId="0" fontId="4" fillId="32" borderId="15" xfId="0" applyFont="1" applyFill="1" applyBorder="1" applyAlignment="1" applyProtection="1">
      <alignment horizontal="right" vertical="top" wrapText="1"/>
      <protection locked="0"/>
    </xf>
    <xf numFmtId="173" fontId="5" fillId="32" borderId="18" xfId="0" applyNumberFormat="1" applyFont="1" applyFill="1" applyBorder="1" applyAlignment="1" applyProtection="1">
      <alignment horizontal="right" vertical="center"/>
      <protection locked="0"/>
    </xf>
    <xf numFmtId="0" fontId="4" fillId="32" borderId="11" xfId="0" applyFont="1" applyFill="1" applyBorder="1" applyAlignment="1" applyProtection="1">
      <alignment vertical="center" wrapText="1"/>
      <protection locked="0"/>
    </xf>
    <xf numFmtId="173" fontId="4" fillId="32" borderId="11" xfId="0" applyNumberFormat="1" applyFont="1" applyFill="1" applyBorder="1" applyAlignment="1" applyProtection="1">
      <alignment horizontal="right" vertical="center" wrapText="1"/>
      <protection locked="0"/>
    </xf>
    <xf numFmtId="173" fontId="4" fillId="32" borderId="11" xfId="0" applyNumberFormat="1" applyFont="1" applyFill="1" applyBorder="1" applyAlignment="1" applyProtection="1">
      <alignment vertical="center" wrapText="1"/>
      <protection locked="0"/>
    </xf>
    <xf numFmtId="173" fontId="4" fillId="32" borderId="10" xfId="0" applyNumberFormat="1" applyFont="1" applyFill="1" applyBorder="1" applyAlignment="1" applyProtection="1">
      <alignment horizontal="right" vertical="center" wrapText="1"/>
      <protection locked="0"/>
    </xf>
    <xf numFmtId="173" fontId="4" fillId="32" borderId="10" xfId="0" applyNumberFormat="1" applyFont="1" applyFill="1" applyBorder="1" applyAlignment="1" applyProtection="1">
      <alignment horizontal="right" vertical="center" wrapText="1"/>
      <protection locked="0"/>
    </xf>
    <xf numFmtId="173" fontId="4" fillId="32" borderId="11" xfId="67" applyNumberFormat="1" applyFont="1" applyFill="1" applyBorder="1" applyAlignment="1" applyProtection="1">
      <alignment vertical="center" wrapText="1"/>
      <protection locked="0"/>
    </xf>
    <xf numFmtId="175" fontId="4" fillId="32" borderId="11" xfId="67" applyNumberFormat="1" applyFont="1" applyFill="1" applyBorder="1" applyAlignment="1" applyProtection="1">
      <alignment horizontal="right" vertical="center" wrapText="1"/>
      <protection locked="0"/>
    </xf>
    <xf numFmtId="172" fontId="4" fillId="32" borderId="10" xfId="0" applyNumberFormat="1" applyFont="1" applyFill="1" applyBorder="1" applyAlignment="1" applyProtection="1">
      <alignment horizontal="right" vertical="center"/>
      <protection locked="0"/>
    </xf>
    <xf numFmtId="173" fontId="4" fillId="32" borderId="10" xfId="0" applyNumberFormat="1" applyFont="1" applyFill="1" applyBorder="1" applyAlignment="1" applyProtection="1">
      <alignment vertical="center" wrapText="1"/>
      <protection locked="0"/>
    </xf>
    <xf numFmtId="173" fontId="5" fillId="32" borderId="11" xfId="0" applyNumberFormat="1" applyFont="1" applyFill="1" applyBorder="1" applyAlignment="1" applyProtection="1">
      <alignment horizontal="right" vertical="center"/>
      <protection locked="0"/>
    </xf>
    <xf numFmtId="0" fontId="4" fillId="32" borderId="15" xfId="0" applyFont="1" applyFill="1" applyBorder="1" applyAlignment="1" applyProtection="1">
      <alignment vertical="top" wrapText="1"/>
      <protection locked="0"/>
    </xf>
    <xf numFmtId="173" fontId="4" fillId="32" borderId="12" xfId="0" applyNumberFormat="1" applyFont="1" applyFill="1" applyBorder="1" applyAlignment="1" applyProtection="1">
      <alignment vertical="center" wrapText="1"/>
      <protection locked="0"/>
    </xf>
    <xf numFmtId="173" fontId="4" fillId="32" borderId="12" xfId="0" applyNumberFormat="1" applyFont="1" applyFill="1" applyBorder="1" applyAlignment="1" applyProtection="1">
      <alignment vertical="center" wrapText="1"/>
      <protection/>
    </xf>
    <xf numFmtId="173" fontId="4" fillId="32" borderId="10" xfId="67" applyNumberFormat="1" applyFont="1" applyFill="1" applyBorder="1" applyAlignment="1" applyProtection="1">
      <alignment horizontal="right" vertical="center"/>
      <protection locked="0"/>
    </xf>
    <xf numFmtId="173" fontId="4" fillId="32" borderId="18" xfId="0" applyNumberFormat="1" applyFont="1" applyFill="1" applyBorder="1" applyAlignment="1" applyProtection="1">
      <alignment horizontal="right" vertical="center"/>
      <protection locked="0"/>
    </xf>
    <xf numFmtId="173" fontId="4" fillId="32" borderId="10" xfId="69" applyNumberFormat="1" applyFont="1" applyFill="1" applyBorder="1" applyAlignment="1">
      <alignment horizontal="right" vertical="center" wrapText="1"/>
    </xf>
    <xf numFmtId="173" fontId="5" fillId="32" borderId="13" xfId="67" applyNumberFormat="1" applyFont="1" applyFill="1" applyBorder="1" applyAlignment="1" applyProtection="1">
      <alignment horizontal="right" vertical="center" wrapText="1"/>
      <protection locked="0"/>
    </xf>
    <xf numFmtId="173" fontId="4" fillId="32" borderId="10" xfId="0" applyNumberFormat="1" applyFont="1" applyFill="1" applyBorder="1" applyAlignment="1" applyProtection="1">
      <alignment horizontal="right" vertical="center"/>
      <protection locked="0"/>
    </xf>
    <xf numFmtId="4" fontId="4" fillId="32" borderId="10" xfId="0" applyNumberFormat="1" applyFont="1" applyFill="1" applyBorder="1" applyAlignment="1" applyProtection="1">
      <alignment horizontal="right" vertical="center"/>
      <protection locked="0"/>
    </xf>
    <xf numFmtId="173" fontId="4" fillId="32" borderId="10" xfId="67" applyNumberFormat="1" applyFont="1" applyFill="1" applyBorder="1" applyAlignment="1" applyProtection="1">
      <alignment horizontal="right" vertical="center" wrapText="1"/>
      <protection locked="0"/>
    </xf>
    <xf numFmtId="0" fontId="4" fillId="32" borderId="10" xfId="0" applyFont="1" applyFill="1" applyBorder="1" applyAlignment="1" applyProtection="1">
      <alignment vertical="center"/>
      <protection locked="0"/>
    </xf>
    <xf numFmtId="173" fontId="4" fillId="32" borderId="10" xfId="0" applyNumberFormat="1" applyFont="1" applyFill="1" applyBorder="1" applyAlignment="1" applyProtection="1">
      <alignment vertical="center"/>
      <protection locked="0"/>
    </xf>
    <xf numFmtId="173" fontId="4" fillId="32" borderId="10" xfId="0" applyNumberFormat="1" applyFont="1" applyFill="1" applyBorder="1" applyAlignment="1" applyProtection="1">
      <alignment vertical="center"/>
      <protection locked="0"/>
    </xf>
    <xf numFmtId="173" fontId="4" fillId="32" borderId="10" xfId="67" applyNumberFormat="1" applyFont="1" applyFill="1" applyBorder="1" applyAlignment="1" applyProtection="1">
      <alignment vertical="center"/>
      <protection locked="0"/>
    </xf>
    <xf numFmtId="183" fontId="4" fillId="32" borderId="10" xfId="67" applyNumberFormat="1" applyFont="1" applyFill="1" applyBorder="1" applyAlignment="1" applyProtection="1">
      <alignment horizontal="right" vertical="center" wrapText="1"/>
      <protection locked="0"/>
    </xf>
    <xf numFmtId="173" fontId="11" fillId="32" borderId="18" xfId="67" applyNumberFormat="1" applyFont="1" applyFill="1" applyBorder="1" applyAlignment="1" applyProtection="1">
      <alignment vertical="center" wrapText="1"/>
      <protection locked="0"/>
    </xf>
    <xf numFmtId="173" fontId="4" fillId="32" borderId="10" xfId="0" applyNumberFormat="1" applyFont="1" applyFill="1" applyBorder="1" applyAlignment="1">
      <alignment wrapText="1"/>
    </xf>
    <xf numFmtId="183" fontId="4" fillId="32" borderId="10" xfId="67" applyNumberFormat="1" applyFont="1" applyFill="1" applyBorder="1" applyAlignment="1" applyProtection="1">
      <alignment vertical="center" wrapText="1"/>
      <protection locked="0"/>
    </xf>
    <xf numFmtId="183" fontId="4" fillId="32" borderId="10" xfId="0" applyNumberFormat="1" applyFont="1" applyFill="1" applyBorder="1" applyAlignment="1" applyProtection="1">
      <alignment vertical="center" wrapText="1"/>
      <protection locked="0"/>
    </xf>
    <xf numFmtId="0" fontId="4"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vertical="center" wrapText="1"/>
      <protection locked="0"/>
    </xf>
    <xf numFmtId="173" fontId="5" fillId="32" borderId="10" xfId="67" applyNumberFormat="1" applyFont="1" applyFill="1" applyBorder="1" applyAlignment="1" applyProtection="1">
      <alignment horizontal="right" vertical="center" wrapText="1"/>
      <protection locked="0"/>
    </xf>
    <xf numFmtId="0" fontId="6" fillId="32" borderId="10" xfId="0" applyFont="1" applyFill="1" applyBorder="1" applyAlignment="1" applyProtection="1">
      <alignment vertical="center" wrapText="1"/>
      <protection locked="0"/>
    </xf>
    <xf numFmtId="173" fontId="11" fillId="32" borderId="10" xfId="67" applyNumberFormat="1" applyFont="1" applyFill="1" applyBorder="1" applyAlignment="1" applyProtection="1">
      <alignment vertical="center" wrapText="1"/>
      <protection locked="0"/>
    </xf>
    <xf numFmtId="0" fontId="4" fillId="32" borderId="10" xfId="0" applyFont="1" applyFill="1" applyBorder="1" applyAlignment="1">
      <alignment wrapText="1"/>
    </xf>
    <xf numFmtId="173" fontId="4" fillId="32" borderId="10" xfId="0" applyNumberFormat="1" applyFont="1" applyFill="1" applyBorder="1" applyAlignment="1" applyProtection="1">
      <alignment vertical="center" wrapText="1"/>
      <protection/>
    </xf>
    <xf numFmtId="172" fontId="4" fillId="32" borderId="0" xfId="0" applyNumberFormat="1" applyFont="1" applyFill="1" applyAlignment="1" applyProtection="1">
      <alignment vertical="center"/>
      <protection locked="0"/>
    </xf>
    <xf numFmtId="173" fontId="5" fillId="32" borderId="13" xfId="0" applyNumberFormat="1" applyFont="1" applyFill="1" applyBorder="1" applyAlignment="1" applyProtection="1">
      <alignment vertical="center" wrapText="1"/>
      <protection locked="0"/>
    </xf>
    <xf numFmtId="172" fontId="4" fillId="32" borderId="10" xfId="0" applyNumberFormat="1" applyFont="1" applyFill="1" applyBorder="1" applyAlignment="1" applyProtection="1">
      <alignment vertical="center"/>
      <protection locked="0"/>
    </xf>
    <xf numFmtId="173" fontId="4" fillId="32" borderId="13" xfId="0" applyNumberFormat="1" applyFont="1" applyFill="1" applyBorder="1" applyAlignment="1" applyProtection="1">
      <alignment horizontal="right" vertical="center" wrapText="1"/>
      <protection locked="0"/>
    </xf>
    <xf numFmtId="173" fontId="4" fillId="32" borderId="10" xfId="54" applyNumberFormat="1" applyFont="1" applyFill="1" applyBorder="1" applyAlignment="1" applyProtection="1">
      <alignment horizontal="right" vertical="center" wrapText="1"/>
      <protection locked="0"/>
    </xf>
    <xf numFmtId="173" fontId="4" fillId="32" borderId="16" xfId="0" applyNumberFormat="1" applyFont="1" applyFill="1" applyBorder="1" applyAlignment="1" applyProtection="1">
      <alignment vertical="center" wrapText="1"/>
      <protection locked="0"/>
    </xf>
    <xf numFmtId="173" fontId="4" fillId="32" borderId="14" xfId="0" applyNumberFormat="1" applyFont="1" applyFill="1" applyBorder="1" applyAlignment="1" applyProtection="1">
      <alignment vertical="top" wrapText="1"/>
      <protection locked="0"/>
    </xf>
    <xf numFmtId="173" fontId="4" fillId="32" borderId="11" xfId="0" applyNumberFormat="1" applyFont="1" applyFill="1" applyBorder="1" applyAlignment="1" applyProtection="1">
      <alignment vertical="center" wrapText="1"/>
      <protection/>
    </xf>
    <xf numFmtId="175" fontId="4" fillId="32" borderId="0" xfId="0" applyNumberFormat="1" applyFont="1" applyFill="1" applyAlignment="1" applyProtection="1">
      <alignment horizontal="right" vertical="center"/>
      <protection/>
    </xf>
    <xf numFmtId="173" fontId="11" fillId="32" borderId="16" xfId="67" applyNumberFormat="1" applyFont="1" applyFill="1" applyBorder="1" applyAlignment="1" applyProtection="1">
      <alignment vertical="center" wrapText="1"/>
      <protection locked="0"/>
    </xf>
    <xf numFmtId="173" fontId="11" fillId="32" borderId="10" xfId="0" applyNumberFormat="1" applyFont="1" applyFill="1" applyBorder="1" applyAlignment="1" applyProtection="1">
      <alignment horizontal="right" vertical="center"/>
      <protection locked="0"/>
    </xf>
    <xf numFmtId="173" fontId="11" fillId="32" borderId="13" xfId="0" applyNumberFormat="1" applyFont="1" applyFill="1" applyBorder="1" applyAlignment="1" applyProtection="1">
      <alignment horizontal="right" vertical="center"/>
      <protection locked="0"/>
    </xf>
    <xf numFmtId="173" fontId="5" fillId="32" borderId="10" xfId="0" applyNumberFormat="1" applyFont="1" applyFill="1" applyBorder="1" applyAlignment="1" applyProtection="1">
      <alignment horizontal="right" vertical="center"/>
      <protection locked="0"/>
    </xf>
    <xf numFmtId="173" fontId="5" fillId="32" borderId="15" xfId="67" applyNumberFormat="1" applyFont="1" applyFill="1" applyBorder="1" applyAlignment="1" applyProtection="1">
      <alignment vertical="center" wrapText="1"/>
      <protection locked="0"/>
    </xf>
    <xf numFmtId="0" fontId="5" fillId="32" borderId="14" xfId="0" applyFont="1" applyFill="1" applyBorder="1" applyAlignment="1" applyProtection="1">
      <alignment vertical="top" wrapText="1"/>
      <protection locked="0"/>
    </xf>
    <xf numFmtId="0" fontId="5" fillId="32" borderId="15" xfId="0" applyFont="1" applyFill="1" applyBorder="1" applyAlignment="1" applyProtection="1">
      <alignment vertical="top" wrapText="1"/>
      <protection locked="0"/>
    </xf>
    <xf numFmtId="173" fontId="11" fillId="32" borderId="11" xfId="67" applyNumberFormat="1" applyFont="1" applyFill="1" applyBorder="1" applyAlignment="1" applyProtection="1">
      <alignment vertical="center" wrapText="1"/>
      <protection locked="0"/>
    </xf>
    <xf numFmtId="173" fontId="11" fillId="32" borderId="11" xfId="0" applyNumberFormat="1" applyFont="1" applyFill="1" applyBorder="1" applyAlignment="1" applyProtection="1">
      <alignment horizontal="right" vertical="center"/>
      <protection locked="0"/>
    </xf>
    <xf numFmtId="173" fontId="5" fillId="32" borderId="11" xfId="67" applyNumberFormat="1" applyFont="1" applyFill="1" applyBorder="1" applyAlignment="1" applyProtection="1">
      <alignment vertical="center" wrapText="1"/>
      <protection locked="0"/>
    </xf>
    <xf numFmtId="173" fontId="4" fillId="32" borderId="11" xfId="0" applyNumberFormat="1" applyFont="1" applyFill="1" applyBorder="1" applyAlignment="1" applyProtection="1">
      <alignment vertical="center" wrapText="1"/>
      <protection locked="0"/>
    </xf>
    <xf numFmtId="173" fontId="7" fillId="32" borderId="11" xfId="67" applyNumberFormat="1" applyFont="1" applyFill="1" applyBorder="1" applyAlignment="1" applyProtection="1">
      <alignment vertical="center" wrapText="1"/>
      <protection locked="0"/>
    </xf>
    <xf numFmtId="0" fontId="4" fillId="32" borderId="0" xfId="0" applyFont="1" applyFill="1" applyAlignment="1" applyProtection="1">
      <alignment vertical="center" wrapText="1"/>
      <protection locked="0"/>
    </xf>
    <xf numFmtId="0" fontId="4" fillId="32" borderId="0" xfId="0" applyFont="1" applyFill="1" applyAlignment="1" applyProtection="1">
      <alignment vertical="center"/>
      <protection locked="0"/>
    </xf>
    <xf numFmtId="0" fontId="5" fillId="32" borderId="0" xfId="0" applyFont="1" applyFill="1" applyBorder="1" applyAlignment="1" applyProtection="1">
      <alignment vertical="center"/>
      <protection locked="0"/>
    </xf>
    <xf numFmtId="0" fontId="5" fillId="32" borderId="0" xfId="0" applyFont="1" applyFill="1" applyAlignment="1" applyProtection="1">
      <alignment vertical="center"/>
      <protection locked="0"/>
    </xf>
    <xf numFmtId="173" fontId="4" fillId="32" borderId="0" xfId="0" applyNumberFormat="1" applyFont="1" applyFill="1" applyAlignment="1" applyProtection="1">
      <alignment vertical="center"/>
      <protection locked="0"/>
    </xf>
    <xf numFmtId="0" fontId="4" fillId="32" borderId="0" xfId="0" applyFont="1" applyFill="1" applyBorder="1" applyAlignment="1" applyProtection="1">
      <alignment vertical="center"/>
      <protection locked="0"/>
    </xf>
    <xf numFmtId="173" fontId="5" fillId="32" borderId="0" xfId="0" applyNumberFormat="1" applyFont="1" applyFill="1" applyBorder="1" applyAlignment="1" applyProtection="1">
      <alignment vertical="center"/>
      <protection locked="0"/>
    </xf>
    <xf numFmtId="173" fontId="7" fillId="32" borderId="0" xfId="0" applyNumberFormat="1" applyFont="1" applyFill="1" applyAlignment="1" applyProtection="1">
      <alignment horizontal="left" vertical="top"/>
      <protection locked="0"/>
    </xf>
    <xf numFmtId="0" fontId="4" fillId="32" borderId="0" xfId="0" applyFont="1" applyFill="1" applyAlignment="1" applyProtection="1">
      <alignment horizontal="left" vertical="top"/>
      <protection locked="0"/>
    </xf>
    <xf numFmtId="173" fontId="4" fillId="32" borderId="0" xfId="0" applyNumberFormat="1" applyFont="1" applyFill="1" applyAlignment="1" applyProtection="1">
      <alignment horizontal="left" vertical="top"/>
      <protection locked="0"/>
    </xf>
    <xf numFmtId="173" fontId="4" fillId="32" borderId="0" xfId="0" applyNumberFormat="1" applyFont="1" applyFill="1" applyAlignment="1" applyProtection="1">
      <alignment vertical="center" wrapText="1"/>
      <protection locked="0"/>
    </xf>
    <xf numFmtId="0" fontId="4" fillId="32" borderId="0" xfId="0" applyFont="1" applyFill="1" applyBorder="1" applyAlignment="1" applyProtection="1">
      <alignment vertical="center" wrapText="1"/>
      <protection locked="0"/>
    </xf>
    <xf numFmtId="0" fontId="4" fillId="32" borderId="0" xfId="0" applyFont="1" applyFill="1" applyBorder="1" applyAlignment="1" applyProtection="1">
      <alignment vertical="center" wrapText="1"/>
      <protection locked="0"/>
    </xf>
    <xf numFmtId="173" fontId="4" fillId="32" borderId="0" xfId="0" applyNumberFormat="1" applyFont="1" applyFill="1" applyBorder="1" applyAlignment="1" applyProtection="1">
      <alignment vertical="center" wrapText="1"/>
      <protection locked="0"/>
    </xf>
    <xf numFmtId="0" fontId="7" fillId="32" borderId="0" xfId="0" applyFont="1" applyFill="1" applyAlignment="1" applyProtection="1">
      <alignment horizontal="left" vertical="top"/>
      <protection locked="0"/>
    </xf>
    <xf numFmtId="2" fontId="5" fillId="32" borderId="22" xfId="0" applyNumberFormat="1" applyFont="1" applyFill="1" applyBorder="1" applyAlignment="1" applyProtection="1">
      <alignment horizontal="center" vertical="center" wrapText="1"/>
      <protection locked="0"/>
    </xf>
    <xf numFmtId="173" fontId="5" fillId="32" borderId="0" xfId="0" applyNumberFormat="1" applyFont="1" applyFill="1" applyBorder="1" applyAlignment="1" applyProtection="1">
      <alignment horizontal="center" vertical="center"/>
      <protection locked="0"/>
    </xf>
    <xf numFmtId="0" fontId="5" fillId="32" borderId="0" xfId="0" applyFont="1" applyFill="1" applyBorder="1" applyAlignment="1" applyProtection="1">
      <alignment horizontal="center"/>
      <protection locked="0"/>
    </xf>
    <xf numFmtId="0" fontId="4" fillId="32" borderId="0" xfId="0" applyFont="1" applyFill="1" applyBorder="1" applyAlignment="1" applyProtection="1">
      <alignment horizontal="center" vertical="center"/>
      <protection locked="0"/>
    </xf>
    <xf numFmtId="2" fontId="5" fillId="32" borderId="0" xfId="0" applyNumberFormat="1" applyFont="1" applyFill="1" applyBorder="1" applyAlignment="1" applyProtection="1">
      <alignment horizontal="center" vertical="center" wrapText="1"/>
      <protection locked="0"/>
    </xf>
    <xf numFmtId="2" fontId="5" fillId="32" borderId="0" xfId="0" applyNumberFormat="1" applyFont="1" applyFill="1" applyBorder="1" applyAlignment="1" applyProtection="1">
      <alignment vertical="center" wrapText="1"/>
      <protection locked="0"/>
    </xf>
    <xf numFmtId="2" fontId="17" fillId="32" borderId="0" xfId="0" applyNumberFormat="1" applyFont="1" applyFill="1" applyBorder="1" applyAlignment="1" applyProtection="1">
      <alignment horizontal="center" vertical="center" wrapText="1"/>
      <protection locked="0"/>
    </xf>
    <xf numFmtId="2" fontId="5" fillId="32" borderId="22" xfId="0" applyNumberFormat="1" applyFont="1" applyFill="1" applyBorder="1" applyAlignment="1" applyProtection="1">
      <alignment vertical="center" wrapText="1"/>
      <protection locked="0"/>
    </xf>
    <xf numFmtId="2" fontId="17" fillId="32" borderId="0" xfId="0" applyNumberFormat="1" applyFont="1" applyFill="1" applyBorder="1" applyAlignment="1" applyProtection="1">
      <alignment horizontal="center" vertical="center" wrapText="1"/>
      <protection locked="0"/>
    </xf>
    <xf numFmtId="0" fontId="4" fillId="32" borderId="0" xfId="0" applyFont="1" applyFill="1" applyAlignment="1" applyProtection="1">
      <alignment horizontal="left" vertical="top" wrapText="1"/>
      <protection locked="0"/>
    </xf>
    <xf numFmtId="0" fontId="4" fillId="32" borderId="10" xfId="0" applyFont="1" applyFill="1" applyBorder="1" applyAlignment="1" applyProtection="1">
      <alignment vertical="center" wrapText="1"/>
      <protection locked="0"/>
    </xf>
    <xf numFmtId="0" fontId="4" fillId="32" borderId="10" xfId="0" applyFont="1" applyFill="1" applyBorder="1" applyAlignment="1" applyProtection="1">
      <alignment horizontal="center" vertical="center" wrapText="1"/>
      <protection locked="0"/>
    </xf>
    <xf numFmtId="0" fontId="4" fillId="32" borderId="14" xfId="0" applyFont="1" applyFill="1" applyBorder="1" applyAlignment="1" applyProtection="1">
      <alignment horizontal="center" vertical="center" wrapText="1"/>
      <protection locked="0"/>
    </xf>
    <xf numFmtId="0" fontId="7" fillId="32" borderId="10" xfId="0" applyFont="1" applyFill="1" applyBorder="1" applyAlignment="1" applyProtection="1">
      <alignment horizontal="justify" vertical="top" wrapText="1"/>
      <protection locked="0"/>
    </xf>
    <xf numFmtId="0" fontId="4" fillId="32" borderId="13" xfId="0" applyFont="1" applyFill="1" applyBorder="1" applyAlignment="1" applyProtection="1">
      <alignment horizontal="center" vertical="center" wrapText="1"/>
      <protection locked="0"/>
    </xf>
    <xf numFmtId="0" fontId="4" fillId="32" borderId="16" xfId="0" applyFont="1" applyFill="1" applyBorder="1" applyAlignment="1" applyProtection="1">
      <alignment horizontal="center" vertical="center" wrapText="1"/>
      <protection locked="0"/>
    </xf>
    <xf numFmtId="0" fontId="4" fillId="32" borderId="13" xfId="0" applyFont="1" applyFill="1" applyBorder="1" applyAlignment="1" applyProtection="1">
      <alignment vertical="center" wrapText="1"/>
      <protection locked="0"/>
    </xf>
    <xf numFmtId="0" fontId="4" fillId="32" borderId="16" xfId="0" applyFont="1" applyFill="1" applyBorder="1" applyAlignment="1" applyProtection="1">
      <alignment vertical="center" wrapText="1"/>
      <protection locked="0"/>
    </xf>
    <xf numFmtId="0" fontId="7" fillId="32" borderId="10" xfId="0" applyFont="1" applyFill="1" applyBorder="1" applyAlignment="1" applyProtection="1">
      <alignment horizontal="left" vertical="top" wrapText="1"/>
      <protection locked="0"/>
    </xf>
    <xf numFmtId="0" fontId="4" fillId="32" borderId="13" xfId="0" applyFont="1" applyFill="1" applyBorder="1" applyAlignment="1" applyProtection="1">
      <alignment horizontal="left" vertical="center" wrapText="1"/>
      <protection locked="0"/>
    </xf>
    <xf numFmtId="0" fontId="4" fillId="32" borderId="16" xfId="0" applyFont="1" applyFill="1" applyBorder="1" applyAlignment="1" applyProtection="1">
      <alignment horizontal="left" vertical="center" wrapText="1"/>
      <protection locked="0"/>
    </xf>
    <xf numFmtId="0" fontId="7" fillId="32" borderId="13" xfId="0" applyFont="1" applyFill="1" applyBorder="1" applyAlignment="1" applyProtection="1">
      <alignment horizontal="left" vertical="top" wrapText="1"/>
      <protection locked="0"/>
    </xf>
    <xf numFmtId="0" fontId="7" fillId="32" borderId="16" xfId="0" applyFont="1" applyFill="1" applyBorder="1" applyAlignment="1" applyProtection="1">
      <alignment horizontal="left" vertical="top"/>
      <protection locked="0"/>
    </xf>
    <xf numFmtId="0" fontId="7" fillId="32" borderId="11" xfId="0" applyFont="1" applyFill="1" applyBorder="1" applyAlignment="1" applyProtection="1">
      <alignment horizontal="left" vertical="top"/>
      <protection locked="0"/>
    </xf>
    <xf numFmtId="0" fontId="7" fillId="32" borderId="13" xfId="54" applyFont="1" applyFill="1" applyBorder="1" applyAlignment="1" applyProtection="1">
      <alignment vertical="top" wrapText="1"/>
      <protection locked="0"/>
    </xf>
    <xf numFmtId="0" fontId="7" fillId="32" borderId="16" xfId="54" applyFont="1" applyFill="1" applyBorder="1" applyAlignment="1" applyProtection="1">
      <alignment vertical="top" wrapText="1"/>
      <protection locked="0"/>
    </xf>
    <xf numFmtId="0" fontId="7" fillId="32" borderId="11" xfId="54" applyFont="1" applyFill="1" applyBorder="1" applyAlignment="1" applyProtection="1">
      <alignment vertical="top" wrapText="1"/>
      <protection locked="0"/>
    </xf>
    <xf numFmtId="0" fontId="4" fillId="32" borderId="1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locked="0"/>
    </xf>
    <xf numFmtId="0" fontId="5" fillId="32" borderId="23"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wrapText="1"/>
      <protection locked="0"/>
    </xf>
    <xf numFmtId="1" fontId="5" fillId="32" borderId="11" xfId="0" applyNumberFormat="1" applyFont="1" applyFill="1" applyBorder="1" applyAlignment="1" applyProtection="1">
      <alignment horizontal="center" vertical="center" wrapText="1"/>
      <protection locked="0"/>
    </xf>
    <xf numFmtId="1" fontId="5" fillId="32" borderId="10" xfId="0" applyNumberFormat="1" applyFont="1" applyFill="1" applyBorder="1" applyAlignment="1" applyProtection="1">
      <alignment horizontal="center" vertical="center" wrapText="1"/>
      <protection locked="0"/>
    </xf>
    <xf numFmtId="0" fontId="7" fillId="32" borderId="10" xfId="54" applyFont="1" applyFill="1" applyBorder="1" applyAlignment="1" applyProtection="1">
      <alignment horizontal="justify" vertical="top" wrapText="1"/>
      <protection/>
    </xf>
    <xf numFmtId="0" fontId="35" fillId="32" borderId="10" xfId="0" applyFont="1" applyFill="1" applyBorder="1" applyAlignment="1">
      <alignment horizontal="justify" vertical="top" wrapText="1"/>
    </xf>
    <xf numFmtId="0" fontId="11" fillId="32" borderId="11" xfId="0" applyFont="1" applyFill="1" applyBorder="1" applyAlignment="1" applyProtection="1">
      <alignment horizontal="center" vertical="center" wrapText="1" shrinkToFit="1"/>
      <protection locked="0"/>
    </xf>
    <xf numFmtId="0" fontId="11" fillId="32" borderId="10" xfId="0" applyFont="1" applyFill="1" applyBorder="1" applyAlignment="1" applyProtection="1">
      <alignment horizontal="center" vertical="center" wrapText="1" shrinkToFit="1"/>
      <protection locked="0"/>
    </xf>
    <xf numFmtId="173" fontId="5" fillId="32" borderId="16" xfId="0" applyNumberFormat="1" applyFont="1" applyFill="1" applyBorder="1" applyAlignment="1" applyProtection="1">
      <alignment horizontal="center" vertical="center" textRotation="90" wrapText="1"/>
      <protection locked="0"/>
    </xf>
    <xf numFmtId="0" fontId="44" fillId="32" borderId="16" xfId="0" applyFont="1" applyFill="1" applyBorder="1" applyAlignment="1">
      <alignment horizontal="center" vertical="center" textRotation="90" wrapText="1"/>
    </xf>
    <xf numFmtId="0" fontId="44" fillId="32" borderId="11" xfId="0" applyFont="1" applyFill="1" applyBorder="1" applyAlignment="1">
      <alignment horizontal="center" vertical="center" textRotation="90" wrapText="1"/>
    </xf>
    <xf numFmtId="0" fontId="0" fillId="32" borderId="11" xfId="0" applyFill="1" applyBorder="1" applyAlignment="1">
      <alignment horizontal="center" vertical="center" wrapText="1"/>
    </xf>
    <xf numFmtId="0" fontId="0" fillId="32" borderId="10" xfId="0" applyFill="1" applyBorder="1" applyAlignment="1">
      <alignment horizontal="center" vertical="center" wrapText="1"/>
    </xf>
    <xf numFmtId="0" fontId="4" fillId="32" borderId="10" xfId="0" applyFont="1" applyFill="1" applyBorder="1" applyAlignment="1" applyProtection="1">
      <alignment vertical="center"/>
      <protection/>
    </xf>
    <xf numFmtId="0" fontId="4" fillId="32" borderId="14" xfId="0" applyFont="1" applyFill="1" applyBorder="1" applyAlignment="1" applyProtection="1">
      <alignment horizontal="center" vertical="center" wrapText="1"/>
      <protection/>
    </xf>
    <xf numFmtId="0" fontId="0" fillId="32" borderId="16" xfId="0" applyFill="1" applyBorder="1" applyAlignment="1">
      <alignment horizontal="center" vertical="center" wrapText="1"/>
    </xf>
    <xf numFmtId="0" fontId="0" fillId="32" borderId="16" xfId="0" applyFill="1" applyBorder="1" applyAlignment="1">
      <alignment horizontal="left" vertical="center" wrapText="1"/>
    </xf>
    <xf numFmtId="0" fontId="0" fillId="32" borderId="11" xfId="0" applyFill="1" applyBorder="1" applyAlignment="1">
      <alignment horizontal="left" vertical="center" wrapText="1"/>
    </xf>
    <xf numFmtId="0" fontId="4" fillId="32" borderId="10" xfId="0" applyFont="1" applyFill="1" applyBorder="1" applyAlignment="1" applyProtection="1">
      <alignment vertical="center" wrapText="1"/>
      <protection/>
    </xf>
    <xf numFmtId="0" fontId="7" fillId="32" borderId="10" xfId="54" applyFont="1" applyFill="1" applyBorder="1" applyAlignment="1" applyProtection="1">
      <alignment horizontal="justify" vertical="top" wrapText="1"/>
      <protection locked="0"/>
    </xf>
    <xf numFmtId="0" fontId="0" fillId="32" borderId="10" xfId="0" applyFill="1" applyBorder="1" applyAlignment="1">
      <alignment horizontal="justify" vertical="top" wrapText="1"/>
    </xf>
    <xf numFmtId="0" fontId="11" fillId="32" borderId="10" xfId="0" applyFont="1" applyFill="1" applyBorder="1" applyAlignment="1" applyProtection="1">
      <alignment horizontal="justify" vertical="top" wrapText="1"/>
      <protection locked="0"/>
    </xf>
    <xf numFmtId="0" fontId="53" fillId="32" borderId="0" xfId="0" applyFont="1" applyFill="1" applyAlignment="1" applyProtection="1">
      <alignment horizontal="left" vertical="center" wrapText="1"/>
      <protection locked="0"/>
    </xf>
    <xf numFmtId="0" fontId="53" fillId="32" borderId="10" xfId="0" applyFont="1" applyFill="1" applyBorder="1" applyAlignment="1" applyProtection="1">
      <alignment horizontal="center" vertical="center" wrapText="1"/>
      <protection locked="0"/>
    </xf>
    <xf numFmtId="0" fontId="54" fillId="32" borderId="10" xfId="0" applyFont="1" applyFill="1" applyBorder="1" applyAlignment="1" applyProtection="1">
      <alignment horizontal="center" vertical="center" wrapText="1"/>
      <protection locked="0"/>
    </xf>
    <xf numFmtId="0" fontId="53" fillId="32" borderId="14" xfId="0" applyFont="1" applyFill="1" applyBorder="1" applyAlignment="1" applyProtection="1">
      <alignment horizontal="center" vertical="center" wrapText="1"/>
      <protection locked="0"/>
    </xf>
    <xf numFmtId="0" fontId="54" fillId="32" borderId="10" xfId="0" applyFont="1" applyFill="1" applyBorder="1" applyAlignment="1" applyProtection="1">
      <alignment horizontal="justify" vertical="center" wrapText="1"/>
      <protection locked="0"/>
    </xf>
    <xf numFmtId="0" fontId="53" fillId="32" borderId="10" xfId="0" applyFont="1" applyFill="1" applyBorder="1" applyAlignment="1" applyProtection="1">
      <alignment vertical="center" wrapText="1"/>
      <protection locked="0"/>
    </xf>
    <xf numFmtId="0" fontId="4" fillId="32" borderId="13" xfId="0" applyFont="1" applyFill="1" applyBorder="1" applyAlignment="1" applyProtection="1">
      <alignment horizontal="justify" vertical="center" wrapText="1"/>
      <protection locked="0"/>
    </xf>
    <xf numFmtId="0" fontId="4" fillId="32" borderId="16" xfId="0" applyFont="1" applyFill="1" applyBorder="1" applyAlignment="1" applyProtection="1">
      <alignment horizontal="justify" vertical="center" wrapText="1"/>
      <protection locked="0"/>
    </xf>
    <xf numFmtId="0" fontId="4" fillId="32" borderId="11" xfId="0" applyFont="1" applyFill="1" applyBorder="1" applyAlignment="1" applyProtection="1">
      <alignment horizontal="justify" vertical="center" wrapText="1"/>
      <protection locked="0"/>
    </xf>
    <xf numFmtId="1" fontId="54" fillId="32" borderId="20" xfId="0" applyNumberFormat="1" applyFont="1" applyFill="1" applyBorder="1" applyAlignment="1" applyProtection="1">
      <alignment horizontal="center" vertical="center" wrapText="1"/>
      <protection locked="0"/>
    </xf>
    <xf numFmtId="1" fontId="54" fillId="32" borderId="19" xfId="0" applyNumberFormat="1" applyFont="1" applyFill="1" applyBorder="1" applyAlignment="1" applyProtection="1">
      <alignment horizontal="center" vertical="center" wrapText="1"/>
      <protection locked="0"/>
    </xf>
    <xf numFmtId="0" fontId="53" fillId="32" borderId="12" xfId="0" applyFont="1" applyFill="1" applyBorder="1" applyAlignment="1">
      <alignment vertical="center" wrapText="1"/>
    </xf>
    <xf numFmtId="1" fontId="54" fillId="32" borderId="23" xfId="0" applyNumberFormat="1" applyFont="1" applyFill="1" applyBorder="1" applyAlignment="1" applyProtection="1">
      <alignment horizontal="center" vertical="center" wrapText="1"/>
      <protection locked="0"/>
    </xf>
    <xf numFmtId="1" fontId="54" fillId="32" borderId="22" xfId="0" applyNumberFormat="1" applyFont="1" applyFill="1" applyBorder="1" applyAlignment="1" applyProtection="1">
      <alignment horizontal="center" vertical="center" wrapText="1"/>
      <protection locked="0"/>
    </xf>
    <xf numFmtId="0" fontId="53" fillId="32" borderId="17" xfId="0" applyFont="1" applyFill="1" applyBorder="1" applyAlignment="1">
      <alignment vertical="center" wrapText="1"/>
    </xf>
    <xf numFmtId="0" fontId="53" fillId="32" borderId="13" xfId="0" applyFont="1" applyFill="1" applyBorder="1" applyAlignment="1" applyProtection="1">
      <alignment horizontal="center" vertical="center" wrapText="1"/>
      <protection locked="0"/>
    </xf>
    <xf numFmtId="0" fontId="53" fillId="32" borderId="16" xfId="0" applyFont="1" applyFill="1" applyBorder="1" applyAlignment="1" applyProtection="1">
      <alignment horizontal="center" vertical="center" wrapText="1"/>
      <protection locked="0"/>
    </xf>
    <xf numFmtId="0" fontId="53" fillId="32" borderId="11" xfId="0" applyFont="1" applyFill="1" applyBorder="1" applyAlignment="1" applyProtection="1">
      <alignment horizontal="center" vertical="center" wrapText="1"/>
      <protection locked="0"/>
    </xf>
    <xf numFmtId="0" fontId="53" fillId="32" borderId="13" xfId="0" applyFont="1" applyFill="1" applyBorder="1" applyAlignment="1" applyProtection="1">
      <alignment vertical="center" wrapText="1"/>
      <protection locked="0"/>
    </xf>
    <xf numFmtId="0" fontId="53" fillId="32" borderId="16" xfId="0" applyFont="1" applyFill="1" applyBorder="1" applyAlignment="1" applyProtection="1">
      <alignment vertical="center" wrapText="1"/>
      <protection locked="0"/>
    </xf>
    <xf numFmtId="0" fontId="53" fillId="32" borderId="11" xfId="0" applyFont="1" applyFill="1" applyBorder="1" applyAlignment="1" applyProtection="1">
      <alignment vertical="center" wrapText="1"/>
      <protection locked="0"/>
    </xf>
    <xf numFmtId="0" fontId="53" fillId="32" borderId="24" xfId="0" applyFont="1" applyFill="1" applyBorder="1" applyAlignment="1" applyProtection="1">
      <alignment horizontal="center" vertical="center" wrapText="1"/>
      <protection locked="0"/>
    </xf>
    <xf numFmtId="0" fontId="53" fillId="32" borderId="13" xfId="0" applyFont="1" applyFill="1" applyBorder="1" applyAlignment="1" applyProtection="1">
      <alignment horizontal="justify" vertical="center" wrapText="1"/>
      <protection locked="0"/>
    </xf>
    <xf numFmtId="0" fontId="53" fillId="32" borderId="16" xfId="0" applyFont="1" applyFill="1" applyBorder="1" applyAlignment="1" applyProtection="1">
      <alignment horizontal="justify" vertical="center" wrapText="1"/>
      <protection locked="0"/>
    </xf>
    <xf numFmtId="0" fontId="53" fillId="32" borderId="11" xfId="0" applyFont="1" applyFill="1" applyBorder="1" applyAlignment="1" applyProtection="1">
      <alignment horizontal="justify" vertical="center" wrapText="1"/>
      <protection locked="0"/>
    </xf>
    <xf numFmtId="0" fontId="53" fillId="32" borderId="13" xfId="0" applyFont="1" applyFill="1" applyBorder="1" applyAlignment="1" applyProtection="1">
      <alignment horizontal="left" vertical="center" wrapText="1"/>
      <protection locked="0"/>
    </xf>
    <xf numFmtId="0" fontId="53" fillId="32" borderId="16" xfId="0" applyFont="1" applyFill="1" applyBorder="1" applyAlignment="1" applyProtection="1">
      <alignment horizontal="left" vertical="center" wrapText="1"/>
      <protection locked="0"/>
    </xf>
    <xf numFmtId="0" fontId="53" fillId="32" borderId="11" xfId="0" applyFont="1" applyFill="1" applyBorder="1" applyAlignment="1" applyProtection="1">
      <alignment horizontal="left" vertical="center" wrapText="1"/>
      <protection locked="0"/>
    </xf>
    <xf numFmtId="0" fontId="53" fillId="32" borderId="16" xfId="0" applyFont="1" applyFill="1" applyBorder="1" applyAlignment="1">
      <alignment horizontal="center" vertical="center" wrapText="1"/>
    </xf>
    <xf numFmtId="0" fontId="53" fillId="32" borderId="11" xfId="0" applyFont="1" applyFill="1" applyBorder="1" applyAlignment="1">
      <alignment horizontal="center" vertical="center" wrapText="1"/>
    </xf>
    <xf numFmtId="0" fontId="53" fillId="32" borderId="16" xfId="0" applyFont="1" applyFill="1" applyBorder="1" applyAlignment="1">
      <alignment vertical="center" wrapText="1"/>
    </xf>
    <xf numFmtId="0" fontId="53" fillId="32" borderId="11" xfId="0" applyFont="1" applyFill="1" applyBorder="1" applyAlignment="1">
      <alignment vertical="center" wrapText="1"/>
    </xf>
    <xf numFmtId="0" fontId="10" fillId="32" borderId="13" xfId="0" applyFont="1" applyFill="1" applyBorder="1" applyAlignment="1" applyProtection="1">
      <alignment horizontal="justify" vertical="center" wrapText="1"/>
      <protection locked="0"/>
    </xf>
    <xf numFmtId="0" fontId="10" fillId="32" borderId="16" xfId="0" applyFont="1" applyFill="1" applyBorder="1" applyAlignment="1" applyProtection="1">
      <alignment horizontal="justify" vertical="center" wrapText="1"/>
      <protection locked="0"/>
    </xf>
    <xf numFmtId="0" fontId="10" fillId="32" borderId="16" xfId="0" applyFont="1" applyFill="1" applyBorder="1" applyAlignment="1">
      <alignment horizontal="justify" vertical="center" wrapText="1"/>
    </xf>
    <xf numFmtId="0" fontId="10" fillId="32" borderId="11" xfId="0" applyFont="1" applyFill="1" applyBorder="1" applyAlignment="1">
      <alignment horizontal="justify" vertical="center" wrapText="1"/>
    </xf>
    <xf numFmtId="0" fontId="4" fillId="32" borderId="13" xfId="54" applyFont="1" applyFill="1" applyBorder="1" applyAlignment="1" applyProtection="1">
      <alignment horizontal="left" vertical="center" wrapText="1"/>
      <protection locked="0"/>
    </xf>
    <xf numFmtId="0" fontId="4" fillId="32" borderId="16" xfId="54" applyFont="1" applyFill="1" applyBorder="1" applyAlignment="1" applyProtection="1">
      <alignment horizontal="left" vertical="center" wrapText="1"/>
      <protection locked="0"/>
    </xf>
    <xf numFmtId="0" fontId="4" fillId="32" borderId="11" xfId="54" applyFont="1" applyFill="1" applyBorder="1" applyAlignment="1" applyProtection="1">
      <alignment horizontal="left" vertical="center" wrapText="1"/>
      <protection locked="0"/>
    </xf>
    <xf numFmtId="0" fontId="53" fillId="32" borderId="10" xfId="0" applyFont="1" applyFill="1" applyBorder="1" applyAlignment="1" applyProtection="1">
      <alignment horizontal="center" vertical="center" wrapText="1"/>
      <protection/>
    </xf>
    <xf numFmtId="0" fontId="53" fillId="32" borderId="10" xfId="0" applyFont="1" applyFill="1" applyBorder="1" applyAlignment="1" applyProtection="1">
      <alignment vertical="center" wrapText="1"/>
      <protection/>
    </xf>
    <xf numFmtId="0" fontId="53" fillId="32" borderId="10" xfId="0" applyFont="1" applyFill="1" applyBorder="1" applyAlignment="1" applyProtection="1">
      <alignment vertical="center"/>
      <protection/>
    </xf>
    <xf numFmtId="0" fontId="53" fillId="32" borderId="14" xfId="0" applyFont="1" applyFill="1" applyBorder="1" applyAlignment="1" applyProtection="1">
      <alignment horizontal="center" vertical="center" wrapText="1"/>
      <protection/>
    </xf>
    <xf numFmtId="0" fontId="53" fillId="32" borderId="13" xfId="54" applyFont="1" applyFill="1" applyBorder="1" applyAlignment="1" applyProtection="1">
      <alignment horizontal="justify" vertical="center" wrapText="1"/>
      <protection/>
    </xf>
    <xf numFmtId="0" fontId="53" fillId="32" borderId="16" xfId="0" applyFont="1" applyFill="1" applyBorder="1" applyAlignment="1">
      <alignment horizontal="justify" vertical="center" wrapText="1"/>
    </xf>
    <xf numFmtId="0" fontId="53" fillId="32" borderId="11" xfId="0" applyFont="1" applyFill="1" applyBorder="1" applyAlignment="1">
      <alignment horizontal="justify" vertical="center" wrapText="1"/>
    </xf>
    <xf numFmtId="0" fontId="54" fillId="32" borderId="13" xfId="0" applyFont="1" applyFill="1" applyBorder="1" applyAlignment="1" applyProtection="1">
      <alignment horizontal="center" vertical="center" wrapText="1"/>
      <protection locked="0"/>
    </xf>
    <xf numFmtId="0" fontId="54" fillId="32" borderId="16" xfId="0" applyFont="1" applyFill="1" applyBorder="1" applyAlignment="1" applyProtection="1">
      <alignment horizontal="center" vertical="center" wrapText="1"/>
      <protection locked="0"/>
    </xf>
    <xf numFmtId="0" fontId="54" fillId="32" borderId="11" xfId="0" applyFont="1" applyFill="1" applyBorder="1" applyAlignment="1" applyProtection="1">
      <alignment horizontal="center" vertical="center" wrapText="1"/>
      <protection locked="0"/>
    </xf>
    <xf numFmtId="0" fontId="4" fillId="32" borderId="13" xfId="54" applyFont="1" applyFill="1" applyBorder="1" applyAlignment="1" applyProtection="1">
      <alignment horizontal="justify" vertical="center" wrapText="1"/>
      <protection locked="0"/>
    </xf>
    <xf numFmtId="0" fontId="4" fillId="32" borderId="16" xfId="54" applyFont="1" applyFill="1" applyBorder="1" applyAlignment="1" applyProtection="1">
      <alignment horizontal="justify" vertical="center" wrapText="1"/>
      <protection locked="0"/>
    </xf>
    <xf numFmtId="0" fontId="4" fillId="32" borderId="11" xfId="54" applyFont="1" applyFill="1" applyBorder="1" applyAlignment="1" applyProtection="1">
      <alignment horizontal="justify" vertical="center" wrapText="1"/>
      <protection locked="0"/>
    </xf>
    <xf numFmtId="1" fontId="54" fillId="32" borderId="10" xfId="0" applyNumberFormat="1" applyFont="1" applyFill="1" applyBorder="1" applyAlignment="1" applyProtection="1">
      <alignment horizontal="center" vertical="center" wrapText="1"/>
      <protection locked="0"/>
    </xf>
    <xf numFmtId="173" fontId="54" fillId="32" borderId="10" xfId="0" applyNumberFormat="1" applyFont="1" applyFill="1" applyBorder="1" applyAlignment="1" applyProtection="1">
      <alignment horizontal="center" vertical="center" wrapText="1"/>
      <protection locked="0"/>
    </xf>
    <xf numFmtId="0" fontId="54" fillId="32" borderId="12" xfId="0" applyFont="1" applyFill="1" applyBorder="1" applyAlignment="1" applyProtection="1">
      <alignment horizontal="center" vertical="center" wrapText="1" shrinkToFit="1"/>
      <protection locked="0"/>
    </xf>
    <xf numFmtId="0" fontId="54" fillId="32" borderId="21" xfId="0" applyFont="1" applyFill="1" applyBorder="1" applyAlignment="1" applyProtection="1">
      <alignment horizontal="center" vertical="center" wrapText="1" shrinkToFit="1"/>
      <protection locked="0"/>
    </xf>
    <xf numFmtId="0" fontId="54" fillId="32" borderId="11" xfId="0" applyFont="1" applyFill="1" applyBorder="1" applyAlignment="1" applyProtection="1">
      <alignment horizontal="center" vertical="center" wrapText="1" shrinkToFit="1"/>
      <protection locked="0"/>
    </xf>
    <xf numFmtId="2" fontId="8" fillId="32" borderId="0" xfId="42" applyNumberFormat="1" applyFill="1" applyBorder="1" applyAlignment="1" applyProtection="1">
      <alignment vertical="center" wrapText="1"/>
      <protection locked="0"/>
    </xf>
    <xf numFmtId="2" fontId="8" fillId="32" borderId="22" xfId="42" applyNumberFormat="1" applyFill="1" applyBorder="1" applyAlignment="1" applyProtection="1">
      <alignment vertical="center"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Финансовый 3" xfId="68"/>
    <cellStyle name="Финансовый 4"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vraion.ru/del/561.rar" TargetMode="External" /><Relationship Id="rId2" Type="http://schemas.openxmlformats.org/officeDocument/2006/relationships/hyperlink" Target="http://nvraion.ru/del/pril.ra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X157"/>
  <sheetViews>
    <sheetView showGridLines="0" tabSelected="1" view="pageBreakPreview" zoomScale="75" zoomScaleNormal="75" zoomScaleSheetLayoutView="75" zoomScalePageLayoutView="50" workbookViewId="0" topLeftCell="B1">
      <selection activeCell="R5" sqref="R5"/>
    </sheetView>
  </sheetViews>
  <sheetFormatPr defaultColWidth="9.140625" defaultRowHeight="15"/>
  <cols>
    <col min="1" max="1" width="2.421875" style="436" hidden="1" customWidth="1"/>
    <col min="2" max="2" width="4.7109375" style="436" customWidth="1"/>
    <col min="3" max="3" width="25.57421875" style="436" customWidth="1"/>
    <col min="4" max="4" width="16.421875" style="436" customWidth="1"/>
    <col min="5" max="5" width="18.28125" style="436" customWidth="1"/>
    <col min="6" max="6" width="17.8515625" style="436" customWidth="1"/>
    <col min="7" max="7" width="23.57421875" style="436" customWidth="1"/>
    <col min="8" max="8" width="18.57421875" style="436" hidden="1" customWidth="1"/>
    <col min="9" max="9" width="20.7109375" style="436" hidden="1" customWidth="1"/>
    <col min="10" max="10" width="14.28125" style="437" hidden="1" customWidth="1"/>
    <col min="11" max="11" width="8.00390625" style="438" hidden="1" customWidth="1"/>
    <col min="12" max="12" width="6.7109375" style="439" hidden="1" customWidth="1"/>
    <col min="13" max="13" width="14.421875" style="440" customWidth="1"/>
    <col min="14" max="14" width="11.57421875" style="438" customWidth="1"/>
    <col min="15" max="15" width="9.28125" style="439" hidden="1" customWidth="1"/>
    <col min="16" max="16" width="15.8515625" style="441" hidden="1" customWidth="1"/>
    <col min="17" max="17" width="8.421875" style="442" hidden="1" customWidth="1"/>
    <col min="18" max="18" width="81.8515625" style="450" customWidth="1"/>
    <col min="19" max="19" width="13.00390625" style="437" hidden="1" customWidth="1"/>
    <col min="20" max="20" width="13.57421875" style="437" hidden="1" customWidth="1"/>
    <col min="21" max="21" width="5.8515625" style="437" hidden="1" customWidth="1"/>
    <col min="22" max="16384" width="9.140625" style="308" customWidth="1"/>
  </cols>
  <sheetData>
    <row r="1" spans="1:21" ht="31.5" customHeight="1">
      <c r="A1" s="304"/>
      <c r="B1" s="459" t="s">
        <v>319</v>
      </c>
      <c r="C1" s="459"/>
      <c r="D1" s="459"/>
      <c r="E1" s="459"/>
      <c r="F1" s="459"/>
      <c r="G1" s="459"/>
      <c r="H1" s="459"/>
      <c r="I1" s="459"/>
      <c r="J1" s="459"/>
      <c r="K1" s="459"/>
      <c r="L1" s="459"/>
      <c r="M1" s="459"/>
      <c r="N1" s="459"/>
      <c r="O1" s="459"/>
      <c r="P1" s="459"/>
      <c r="Q1" s="459"/>
      <c r="R1" s="459"/>
      <c r="S1" s="307"/>
      <c r="T1" s="307"/>
      <c r="U1" s="307"/>
    </row>
    <row r="2" spans="1:21" ht="60.75" customHeight="1">
      <c r="A2" s="304"/>
      <c r="B2" s="459" t="s">
        <v>320</v>
      </c>
      <c r="C2" s="459"/>
      <c r="D2" s="459"/>
      <c r="E2" s="459"/>
      <c r="F2" s="459"/>
      <c r="G2" s="459"/>
      <c r="H2" s="459"/>
      <c r="I2" s="459"/>
      <c r="J2" s="459"/>
      <c r="K2" s="459"/>
      <c r="L2" s="459"/>
      <c r="M2" s="459"/>
      <c r="N2" s="459"/>
      <c r="O2" s="459"/>
      <c r="P2" s="459"/>
      <c r="Q2" s="459"/>
      <c r="R2" s="459"/>
      <c r="S2" s="307"/>
      <c r="T2" s="307"/>
      <c r="U2" s="307"/>
    </row>
    <row r="3" spans="1:21" ht="19.5" customHeight="1">
      <c r="A3" s="304"/>
      <c r="B3" s="457"/>
      <c r="C3" s="457"/>
      <c r="D3" s="457"/>
      <c r="E3" s="457"/>
      <c r="F3" s="457"/>
      <c r="G3" s="457"/>
      <c r="H3" s="457"/>
      <c r="I3" s="457"/>
      <c r="J3" s="457"/>
      <c r="K3" s="457"/>
      <c r="L3" s="457"/>
      <c r="M3" s="457"/>
      <c r="N3" s="457"/>
      <c r="O3" s="457"/>
      <c r="P3" s="457"/>
      <c r="Q3" s="457"/>
      <c r="R3" s="457"/>
      <c r="S3" s="307"/>
      <c r="T3" s="307"/>
      <c r="U3" s="307"/>
    </row>
    <row r="4" spans="1:24" ht="27" customHeight="1">
      <c r="A4" s="304"/>
      <c r="B4" s="455"/>
      <c r="C4" s="455"/>
      <c r="D4" s="455"/>
      <c r="E4" s="455"/>
      <c r="F4" s="455"/>
      <c r="G4" s="308"/>
      <c r="H4" s="308"/>
      <c r="I4" s="308"/>
      <c r="J4" s="308"/>
      <c r="K4" s="308"/>
      <c r="L4" s="308"/>
      <c r="M4" s="308"/>
      <c r="N4" s="455"/>
      <c r="O4" s="453"/>
      <c r="P4" s="454"/>
      <c r="Q4" s="452"/>
      <c r="R4" s="559" t="s">
        <v>318</v>
      </c>
      <c r="S4" s="456"/>
      <c r="T4" s="456"/>
      <c r="U4" s="456"/>
      <c r="V4" s="456"/>
      <c r="W4" s="456"/>
      <c r="X4" s="456"/>
    </row>
    <row r="5" spans="1:24" ht="66.75" customHeight="1">
      <c r="A5" s="304"/>
      <c r="B5" s="451"/>
      <c r="C5" s="451"/>
      <c r="D5" s="451"/>
      <c r="E5" s="451"/>
      <c r="F5" s="451"/>
      <c r="G5" s="307"/>
      <c r="H5" s="307"/>
      <c r="I5" s="307"/>
      <c r="J5" s="307"/>
      <c r="K5" s="307"/>
      <c r="L5" s="307"/>
      <c r="M5" s="307"/>
      <c r="N5" s="451"/>
      <c r="O5" s="305"/>
      <c r="P5" s="306"/>
      <c r="Q5" s="452"/>
      <c r="R5" s="560" t="s">
        <v>317</v>
      </c>
      <c r="S5" s="458"/>
      <c r="T5" s="458"/>
      <c r="U5" s="458"/>
      <c r="V5" s="456"/>
      <c r="W5" s="456"/>
      <c r="X5" s="456"/>
    </row>
    <row r="6" spans="1:21" ht="41.25" customHeight="1">
      <c r="A6" s="481"/>
      <c r="B6" s="479" t="s">
        <v>39</v>
      </c>
      <c r="C6" s="479" t="s">
        <v>233</v>
      </c>
      <c r="D6" s="479" t="s">
        <v>0</v>
      </c>
      <c r="E6" s="479" t="s">
        <v>234</v>
      </c>
      <c r="F6" s="479" t="s">
        <v>28</v>
      </c>
      <c r="G6" s="479" t="s">
        <v>316</v>
      </c>
      <c r="H6" s="479" t="s">
        <v>113</v>
      </c>
      <c r="I6" s="479" t="s">
        <v>16</v>
      </c>
      <c r="J6" s="482" t="s">
        <v>170</v>
      </c>
      <c r="K6" s="491"/>
      <c r="L6" s="491"/>
      <c r="M6" s="482" t="s">
        <v>84</v>
      </c>
      <c r="N6" s="482"/>
      <c r="O6" s="482"/>
      <c r="P6" s="309" t="s">
        <v>132</v>
      </c>
      <c r="Q6" s="488" t="s">
        <v>172</v>
      </c>
      <c r="R6" s="486" t="s">
        <v>235</v>
      </c>
      <c r="S6" s="479" t="s">
        <v>120</v>
      </c>
      <c r="T6" s="479"/>
      <c r="U6" s="480"/>
    </row>
    <row r="7" spans="1:21" ht="26.25" customHeight="1">
      <c r="A7" s="481"/>
      <c r="B7" s="481"/>
      <c r="C7" s="481"/>
      <c r="D7" s="481"/>
      <c r="E7" s="481"/>
      <c r="F7" s="481"/>
      <c r="G7" s="481"/>
      <c r="H7" s="481"/>
      <c r="I7" s="481"/>
      <c r="J7" s="492"/>
      <c r="K7" s="492"/>
      <c r="L7" s="492"/>
      <c r="M7" s="483"/>
      <c r="N7" s="483"/>
      <c r="O7" s="483"/>
      <c r="P7" s="310"/>
      <c r="Q7" s="489"/>
      <c r="R7" s="487"/>
      <c r="S7" s="481"/>
      <c r="T7" s="481"/>
      <c r="U7" s="481"/>
    </row>
    <row r="8" spans="1:21" ht="42" customHeight="1">
      <c r="A8" s="481"/>
      <c r="B8" s="481"/>
      <c r="C8" s="481"/>
      <c r="D8" s="481"/>
      <c r="E8" s="481"/>
      <c r="F8" s="481"/>
      <c r="G8" s="481"/>
      <c r="H8" s="481"/>
      <c r="I8" s="481"/>
      <c r="J8" s="311" t="s">
        <v>40</v>
      </c>
      <c r="K8" s="311" t="s">
        <v>82</v>
      </c>
      <c r="L8" s="311" t="s">
        <v>2</v>
      </c>
      <c r="M8" s="312" t="s">
        <v>40</v>
      </c>
      <c r="N8" s="311" t="s">
        <v>2</v>
      </c>
      <c r="O8" s="311" t="s">
        <v>2</v>
      </c>
      <c r="P8" s="313" t="s">
        <v>40</v>
      </c>
      <c r="Q8" s="490"/>
      <c r="R8" s="487"/>
      <c r="S8" s="303" t="s">
        <v>187</v>
      </c>
      <c r="T8" s="303" t="s">
        <v>188</v>
      </c>
      <c r="U8" s="303" t="s">
        <v>1</v>
      </c>
    </row>
    <row r="9" spans="1:21" ht="38.25" customHeight="1">
      <c r="A9" s="465" t="s">
        <v>47</v>
      </c>
      <c r="B9" s="465">
        <v>1</v>
      </c>
      <c r="C9" s="470" t="s">
        <v>236</v>
      </c>
      <c r="D9" s="465" t="s">
        <v>237</v>
      </c>
      <c r="E9" s="465" t="s">
        <v>238</v>
      </c>
      <c r="F9" s="314" t="s">
        <v>26</v>
      </c>
      <c r="G9" s="315">
        <f>G11+G12+G14+G15+G13</f>
        <v>1869750.8800000001</v>
      </c>
      <c r="H9" s="315">
        <v>66397262.2</v>
      </c>
      <c r="I9" s="315" t="e">
        <f>I11+I12+#REF!+#REF!+#REF!</f>
        <v>#REF!</v>
      </c>
      <c r="J9" s="315" t="e">
        <f>J11+J12+#REF!+#REF!+#REF!+#REF!+#REF!</f>
        <v>#REF!</v>
      </c>
      <c r="K9" s="316" t="e">
        <f>J9/G9*100</f>
        <v>#REF!</v>
      </c>
      <c r="L9" s="317" t="e">
        <f>IF(H9=0,0,J9*100/H9)</f>
        <v>#REF!</v>
      </c>
      <c r="M9" s="315">
        <f>M11+M12+M14+M15+M13</f>
        <v>1841598.9000000001</v>
      </c>
      <c r="N9" s="316">
        <f>IF(G9=0,0,M9/G9*100)</f>
        <v>98.49434594195779</v>
      </c>
      <c r="O9" s="318" t="e">
        <f>IF(I9=0,0,M9*100/I9)</f>
        <v>#REF!</v>
      </c>
      <c r="P9" s="315" t="e">
        <f>P11+P12+#REF!+#REF!+#REF!+#REF!+#REF!</f>
        <v>#REF!</v>
      </c>
      <c r="Q9" s="319" t="e">
        <f>P9*100/G9</f>
        <v>#REF!</v>
      </c>
      <c r="R9" s="499" t="s">
        <v>308</v>
      </c>
      <c r="S9" s="315" t="e">
        <f>S11+S12+#REF!+#REF!+#REF!+#REF!+#REF!</f>
        <v>#REF!</v>
      </c>
      <c r="T9" s="315" t="e">
        <f>T11+T12+#REF!+#REF!+#REF!+#REF!+#REF!</f>
        <v>#REF!</v>
      </c>
      <c r="U9" s="316" t="e">
        <f>IF(S9=0,0,T9*100/S9)</f>
        <v>#REF!</v>
      </c>
    </row>
    <row r="10" spans="1:21" ht="19.5" customHeight="1">
      <c r="A10" s="495"/>
      <c r="B10" s="495"/>
      <c r="C10" s="496"/>
      <c r="D10" s="495"/>
      <c r="E10" s="495"/>
      <c r="F10" s="320" t="s">
        <v>29</v>
      </c>
      <c r="G10" s="321"/>
      <c r="H10" s="321"/>
      <c r="I10" s="321"/>
      <c r="J10" s="321"/>
      <c r="K10" s="322"/>
      <c r="L10" s="321"/>
      <c r="M10" s="323"/>
      <c r="N10" s="322"/>
      <c r="O10" s="323"/>
      <c r="P10" s="324"/>
      <c r="Q10" s="325"/>
      <c r="R10" s="500"/>
      <c r="S10" s="326"/>
      <c r="T10" s="327"/>
      <c r="U10" s="316"/>
    </row>
    <row r="11" spans="1:21" ht="3" customHeight="1" hidden="1">
      <c r="A11" s="495"/>
      <c r="B11" s="495"/>
      <c r="C11" s="496"/>
      <c r="D11" s="495"/>
      <c r="E11" s="495"/>
      <c r="F11" s="52" t="s">
        <v>27</v>
      </c>
      <c r="G11" s="328">
        <v>0</v>
      </c>
      <c r="H11" s="328">
        <v>1914406.6</v>
      </c>
      <c r="I11" s="328">
        <v>1943638</v>
      </c>
      <c r="J11" s="49">
        <v>1818903.7</v>
      </c>
      <c r="K11" s="328" t="e">
        <f>J11/G11*100</f>
        <v>#DIV/0!</v>
      </c>
      <c r="L11" s="329">
        <f>IF(H11=0,0,J11*100/H11)</f>
        <v>95.01135756636025</v>
      </c>
      <c r="M11" s="49">
        <v>0</v>
      </c>
      <c r="N11" s="328">
        <f aca="true" t="shared" si="0" ref="N11:N16">IF(G11=0,0,M11/G11*100)</f>
        <v>0</v>
      </c>
      <c r="O11" s="330">
        <f>IF(I11=0,0,M11*100/I11)</f>
        <v>0</v>
      </c>
      <c r="P11" s="331">
        <v>1878709.98</v>
      </c>
      <c r="Q11" s="332" t="e">
        <f>P11*100/G11</f>
        <v>#DIV/0!</v>
      </c>
      <c r="R11" s="500"/>
      <c r="S11" s="333">
        <v>926604.8</v>
      </c>
      <c r="T11" s="333">
        <v>836987.1</v>
      </c>
      <c r="U11" s="328">
        <f>IF(S11=0,0,T11*100/S11)</f>
        <v>90.32837947742122</v>
      </c>
    </row>
    <row r="12" spans="1:21" ht="39.75" customHeight="1">
      <c r="A12" s="495"/>
      <c r="B12" s="495"/>
      <c r="C12" s="496"/>
      <c r="D12" s="495"/>
      <c r="E12" s="495"/>
      <c r="F12" s="52" t="s">
        <v>30</v>
      </c>
      <c r="G12" s="328">
        <v>1333790.8</v>
      </c>
      <c r="H12" s="328">
        <v>49671895</v>
      </c>
      <c r="I12" s="328">
        <v>49671895</v>
      </c>
      <c r="J12" s="49">
        <v>45117924.4</v>
      </c>
      <c r="K12" s="328">
        <f>J12/G12*100</f>
        <v>3382.683731211821</v>
      </c>
      <c r="L12" s="328">
        <f>IF(H12=0,0,J12*100/H12)</f>
        <v>90.83189678992517</v>
      </c>
      <c r="M12" s="49">
        <v>1324472.04</v>
      </c>
      <c r="N12" s="328">
        <f t="shared" si="0"/>
        <v>99.30133271274626</v>
      </c>
      <c r="O12" s="330">
        <f>IF(I12=0,0,M12*100/I12)</f>
        <v>2.666441536003408</v>
      </c>
      <c r="P12" s="328">
        <f>44526852.13-23500-69074.6</f>
        <v>44434277.53</v>
      </c>
      <c r="Q12" s="332">
        <f>P12*100/G12</f>
        <v>3331.427801871178</v>
      </c>
      <c r="R12" s="500"/>
      <c r="S12" s="334">
        <v>3443555.63</v>
      </c>
      <c r="T12" s="333">
        <v>1495059.3</v>
      </c>
      <c r="U12" s="328">
        <f>IF(S12=0,0,T12*100/S12)</f>
        <v>43.41615064891518</v>
      </c>
    </row>
    <row r="13" spans="1:21" ht="19.5" customHeight="1">
      <c r="A13" s="495"/>
      <c r="B13" s="495"/>
      <c r="C13" s="496"/>
      <c r="D13" s="495"/>
      <c r="E13" s="495"/>
      <c r="F13" s="335" t="s">
        <v>288</v>
      </c>
      <c r="G13" s="336">
        <v>488119.08</v>
      </c>
      <c r="H13" s="336"/>
      <c r="I13" s="336"/>
      <c r="J13" s="337"/>
      <c r="K13" s="336"/>
      <c r="L13" s="336"/>
      <c r="M13" s="337">
        <v>485662</v>
      </c>
      <c r="N13" s="328">
        <f t="shared" si="0"/>
        <v>99.496622832281</v>
      </c>
      <c r="O13" s="330"/>
      <c r="P13" s="336"/>
      <c r="Q13" s="332"/>
      <c r="R13" s="500"/>
      <c r="S13" s="338"/>
      <c r="T13" s="339"/>
      <c r="U13" s="340"/>
    </row>
    <row r="14" spans="1:21" ht="26.25" customHeight="1" hidden="1">
      <c r="A14" s="495"/>
      <c r="B14" s="495"/>
      <c r="C14" s="496"/>
      <c r="D14" s="495"/>
      <c r="E14" s="495"/>
      <c r="F14" s="335" t="s">
        <v>239</v>
      </c>
      <c r="G14" s="341">
        <v>0</v>
      </c>
      <c r="H14" s="341"/>
      <c r="I14" s="341"/>
      <c r="J14" s="337"/>
      <c r="K14" s="336"/>
      <c r="L14" s="336"/>
      <c r="M14" s="337">
        <v>0</v>
      </c>
      <c r="N14" s="328">
        <f t="shared" si="0"/>
        <v>0</v>
      </c>
      <c r="O14" s="330"/>
      <c r="P14" s="342"/>
      <c r="Q14" s="332"/>
      <c r="R14" s="500"/>
      <c r="S14" s="343"/>
      <c r="T14" s="344"/>
      <c r="U14" s="340"/>
    </row>
    <row r="15" spans="1:21" ht="108" customHeight="1">
      <c r="A15" s="491"/>
      <c r="B15" s="491"/>
      <c r="C15" s="497"/>
      <c r="D15" s="491"/>
      <c r="E15" s="491"/>
      <c r="F15" s="52" t="s">
        <v>240</v>
      </c>
      <c r="G15" s="345">
        <v>47841</v>
      </c>
      <c r="H15" s="345">
        <v>25621404.3</v>
      </c>
      <c r="I15" s="345">
        <v>25621404.3</v>
      </c>
      <c r="J15" s="49">
        <v>23470908.2</v>
      </c>
      <c r="K15" s="328">
        <f>J15/G15*100</f>
        <v>49060.23745323049</v>
      </c>
      <c r="L15" s="329">
        <f>IF(H15=0,0,J15*100/H15)</f>
        <v>91.60664234161435</v>
      </c>
      <c r="M15" s="49">
        <v>31464.86</v>
      </c>
      <c r="N15" s="328">
        <f t="shared" si="0"/>
        <v>65.76965364436363</v>
      </c>
      <c r="O15" s="346">
        <f>IF(I15=0,0,M15*100/I15)</f>
        <v>0.12280692982936926</v>
      </c>
      <c r="P15" s="328">
        <v>25621404.3</v>
      </c>
      <c r="Q15" s="332">
        <f>P15*100/G15</f>
        <v>53555.32764783345</v>
      </c>
      <c r="R15" s="500"/>
      <c r="S15" s="347">
        <v>0</v>
      </c>
      <c r="T15" s="348">
        <v>0</v>
      </c>
      <c r="U15" s="349">
        <f>IF(S15=0,0,T15*100/S15)</f>
        <v>0</v>
      </c>
    </row>
    <row r="16" spans="1:21" s="355" customFormat="1" ht="25.5" customHeight="1">
      <c r="A16" s="478" t="s">
        <v>47</v>
      </c>
      <c r="B16" s="478">
        <v>2</v>
      </c>
      <c r="C16" s="498" t="s">
        <v>241</v>
      </c>
      <c r="D16" s="478" t="s">
        <v>243</v>
      </c>
      <c r="E16" s="478" t="s">
        <v>242</v>
      </c>
      <c r="F16" s="350" t="s">
        <v>26</v>
      </c>
      <c r="G16" s="351">
        <f>G18+G19+G21+G22+G20</f>
        <v>36408.99</v>
      </c>
      <c r="H16" s="351">
        <f aca="true" t="shared" si="1" ref="H16:M16">H18+H19+H21+H22+H20</f>
        <v>52583540</v>
      </c>
      <c r="I16" s="351">
        <f t="shared" si="1"/>
        <v>52536251.7</v>
      </c>
      <c r="J16" s="351">
        <f t="shared" si="1"/>
        <v>41804798.74999999</v>
      </c>
      <c r="K16" s="351" t="e">
        <f t="shared" si="1"/>
        <v>#DIV/0!</v>
      </c>
      <c r="L16" s="351">
        <f t="shared" si="1"/>
        <v>257.387267225247</v>
      </c>
      <c r="M16" s="351">
        <f t="shared" si="1"/>
        <v>35605.74</v>
      </c>
      <c r="N16" s="316">
        <f t="shared" si="0"/>
        <v>97.79381411019641</v>
      </c>
      <c r="O16" s="316">
        <f>IF(I16=0,0,M16*100/I16)</f>
        <v>0.06777365885050379</v>
      </c>
      <c r="P16" s="352" t="e">
        <f>P18+P19+P21+P22+#REF!</f>
        <v>#REF!</v>
      </c>
      <c r="Q16" s="319" t="e">
        <f>P16*100/G16</f>
        <v>#REF!</v>
      </c>
      <c r="R16" s="484" t="s">
        <v>292</v>
      </c>
      <c r="S16" s="353" t="e">
        <f>S18+S19+S21+S22+#REF!</f>
        <v>#REF!</v>
      </c>
      <c r="T16" s="353" t="e">
        <f>T18+T19+T21+T22+#REF!</f>
        <v>#REF!</v>
      </c>
      <c r="U16" s="354" t="e">
        <f>IF(S16=0,0,T16*100/S16)</f>
        <v>#REF!</v>
      </c>
    </row>
    <row r="17" spans="1:21" s="355" customFormat="1" ht="27" customHeight="1">
      <c r="A17" s="478"/>
      <c r="B17" s="478"/>
      <c r="C17" s="498"/>
      <c r="D17" s="493"/>
      <c r="E17" s="494"/>
      <c r="F17" s="320" t="s">
        <v>29</v>
      </c>
      <c r="G17" s="321"/>
      <c r="H17" s="321"/>
      <c r="I17" s="321"/>
      <c r="J17" s="321"/>
      <c r="K17" s="322"/>
      <c r="L17" s="321"/>
      <c r="M17" s="323"/>
      <c r="N17" s="322"/>
      <c r="O17" s="323"/>
      <c r="P17" s="324"/>
      <c r="Q17" s="325"/>
      <c r="R17" s="485"/>
      <c r="S17" s="356"/>
      <c r="T17" s="357"/>
      <c r="U17" s="358"/>
    </row>
    <row r="18" spans="1:21" s="355" customFormat="1" ht="25.5" hidden="1">
      <c r="A18" s="478"/>
      <c r="B18" s="478"/>
      <c r="C18" s="498"/>
      <c r="D18" s="493"/>
      <c r="E18" s="478"/>
      <c r="F18" s="359" t="s">
        <v>27</v>
      </c>
      <c r="G18" s="360">
        <v>0</v>
      </c>
      <c r="H18" s="345">
        <v>589274.5</v>
      </c>
      <c r="I18" s="361">
        <v>603777.2</v>
      </c>
      <c r="J18" s="362">
        <v>318927.9</v>
      </c>
      <c r="K18" s="328" t="e">
        <f aca="true" t="shared" si="2" ref="K18:K23">J18/G18*100</f>
        <v>#DIV/0!</v>
      </c>
      <c r="L18" s="361">
        <f aca="true" t="shared" si="3" ref="L18:L23">IF(H18=0,0,J18*100/H18)</f>
        <v>54.12212814231738</v>
      </c>
      <c r="M18" s="362">
        <v>0</v>
      </c>
      <c r="N18" s="328">
        <f>IF(G18=0,0,M18/G18*100)</f>
        <v>0</v>
      </c>
      <c r="O18" s="328">
        <f aca="true" t="shared" si="4" ref="O18:O23">IF(I18=0,0,M18*100/I18)</f>
        <v>0</v>
      </c>
      <c r="P18" s="363">
        <v>601983.2</v>
      </c>
      <c r="Q18" s="332" t="e">
        <f aca="true" t="shared" si="5" ref="Q18:Q23">P18*100/G18</f>
        <v>#DIV/0!</v>
      </c>
      <c r="R18" s="485"/>
      <c r="S18" s="364">
        <v>284849.25999999995</v>
      </c>
      <c r="T18" s="364">
        <v>284490.06035999994</v>
      </c>
      <c r="U18" s="361">
        <f aca="true" t="shared" si="6" ref="U18:U23">IF(S18=0,0,T18*100/S18)</f>
        <v>99.87389834188089</v>
      </c>
    </row>
    <row r="19" spans="1:21" s="355" customFormat="1" ht="25.5">
      <c r="A19" s="478"/>
      <c r="B19" s="478"/>
      <c r="C19" s="498"/>
      <c r="D19" s="493"/>
      <c r="E19" s="478"/>
      <c r="F19" s="365" t="s">
        <v>30</v>
      </c>
      <c r="G19" s="366">
        <v>3457.98</v>
      </c>
      <c r="H19" s="345">
        <v>49884363.6</v>
      </c>
      <c r="I19" s="366">
        <v>49884363.6</v>
      </c>
      <c r="J19" s="367">
        <v>40121840.8</v>
      </c>
      <c r="K19" s="328">
        <f t="shared" si="2"/>
        <v>1160268.156553826</v>
      </c>
      <c r="L19" s="361">
        <f t="shared" si="3"/>
        <v>80.42969360443037</v>
      </c>
      <c r="M19" s="366">
        <v>3457.99</v>
      </c>
      <c r="N19" s="328">
        <f>IF(G19=0,0,M19/G19*100)</f>
        <v>100.00028918617228</v>
      </c>
      <c r="O19" s="328">
        <f t="shared" si="4"/>
        <v>0.006932011857920144</v>
      </c>
      <c r="P19" s="368">
        <v>47238817.669999994</v>
      </c>
      <c r="Q19" s="332">
        <f t="shared" si="5"/>
        <v>1366081.2864736058</v>
      </c>
      <c r="R19" s="485"/>
      <c r="S19" s="369">
        <v>9765247.469999991</v>
      </c>
      <c r="T19" s="364">
        <v>7386220.236680001</v>
      </c>
      <c r="U19" s="361">
        <f t="shared" si="6"/>
        <v>75.63781931150596</v>
      </c>
    </row>
    <row r="20" spans="1:21" s="355" customFormat="1" ht="19.5" customHeight="1">
      <c r="A20" s="478"/>
      <c r="B20" s="478"/>
      <c r="C20" s="498"/>
      <c r="D20" s="493"/>
      <c r="E20" s="478"/>
      <c r="F20" s="365" t="s">
        <v>288</v>
      </c>
      <c r="G20" s="366">
        <v>32711.01</v>
      </c>
      <c r="H20" s="345"/>
      <c r="I20" s="366"/>
      <c r="J20" s="367"/>
      <c r="K20" s="328"/>
      <c r="L20" s="361"/>
      <c r="M20" s="366">
        <v>31907.75</v>
      </c>
      <c r="N20" s="328">
        <f>IF(G20=0,0,M20/G20*100)</f>
        <v>97.54437420305885</v>
      </c>
      <c r="O20" s="328"/>
      <c r="P20" s="368"/>
      <c r="Q20" s="332"/>
      <c r="R20" s="485"/>
      <c r="S20" s="369"/>
      <c r="T20" s="364"/>
      <c r="U20" s="361"/>
    </row>
    <row r="21" spans="1:21" s="355" customFormat="1" ht="0.75" customHeight="1" hidden="1">
      <c r="A21" s="478"/>
      <c r="B21" s="478"/>
      <c r="C21" s="498"/>
      <c r="D21" s="493"/>
      <c r="E21" s="478"/>
      <c r="F21" s="365" t="s">
        <v>239</v>
      </c>
      <c r="G21" s="370">
        <v>0</v>
      </c>
      <c r="H21" s="370">
        <v>325003.5</v>
      </c>
      <c r="I21" s="370">
        <v>325003.5</v>
      </c>
      <c r="J21" s="366">
        <v>184432.25</v>
      </c>
      <c r="K21" s="328" t="e">
        <f t="shared" si="2"/>
        <v>#DIV/0!</v>
      </c>
      <c r="L21" s="361">
        <f t="shared" si="3"/>
        <v>56.74777348551631</v>
      </c>
      <c r="M21" s="366">
        <v>0</v>
      </c>
      <c r="N21" s="328">
        <f>IF(G21=0,0,M21/G21*100)</f>
        <v>0</v>
      </c>
      <c r="O21" s="328">
        <f t="shared" si="4"/>
        <v>0</v>
      </c>
      <c r="P21" s="368">
        <v>307126.9</v>
      </c>
      <c r="Q21" s="332" t="e">
        <f t="shared" si="5"/>
        <v>#DIV/0!</v>
      </c>
      <c r="R21" s="485"/>
      <c r="S21" s="369">
        <v>140571.25</v>
      </c>
      <c r="T21" s="364">
        <v>126045.25</v>
      </c>
      <c r="U21" s="361">
        <f t="shared" si="6"/>
        <v>89.66645028766551</v>
      </c>
    </row>
    <row r="22" spans="1:21" s="355" customFormat="1" ht="82.5" customHeight="1">
      <c r="A22" s="478"/>
      <c r="B22" s="478"/>
      <c r="C22" s="498"/>
      <c r="D22" s="493"/>
      <c r="E22" s="478"/>
      <c r="F22" s="365" t="s">
        <v>240</v>
      </c>
      <c r="G22" s="360">
        <v>240</v>
      </c>
      <c r="H22" s="345">
        <v>1784898.4</v>
      </c>
      <c r="I22" s="366">
        <v>1723107.4</v>
      </c>
      <c r="J22" s="366">
        <v>1179597.8</v>
      </c>
      <c r="K22" s="328">
        <f t="shared" si="2"/>
        <v>491499.0833333333</v>
      </c>
      <c r="L22" s="361">
        <f t="shared" si="3"/>
        <v>66.0876719929829</v>
      </c>
      <c r="M22" s="366">
        <v>240</v>
      </c>
      <c r="N22" s="328">
        <f>IF(G22=0,0,M22/G22*100)</f>
        <v>100</v>
      </c>
      <c r="O22" s="328">
        <f t="shared" si="4"/>
        <v>0.01392832507132173</v>
      </c>
      <c r="P22" s="368">
        <v>1566255.6</v>
      </c>
      <c r="Q22" s="332">
        <f t="shared" si="5"/>
        <v>652606.5</v>
      </c>
      <c r="R22" s="485"/>
      <c r="S22" s="364">
        <v>543146.8099999998</v>
      </c>
      <c r="T22" s="364">
        <v>343918.60000000003</v>
      </c>
      <c r="U22" s="361">
        <f t="shared" si="6"/>
        <v>63.3196391229841</v>
      </c>
    </row>
    <row r="23" spans="1:21" ht="25.5" customHeight="1">
      <c r="A23" s="462" t="s">
        <v>47</v>
      </c>
      <c r="B23" s="462">
        <v>3</v>
      </c>
      <c r="C23" s="461" t="s">
        <v>293</v>
      </c>
      <c r="D23" s="465" t="s">
        <v>245</v>
      </c>
      <c r="E23" s="462" t="s">
        <v>244</v>
      </c>
      <c r="F23" s="371" t="s">
        <v>26</v>
      </c>
      <c r="G23" s="315">
        <f>SUM(G25:G29)</f>
        <v>24784.92</v>
      </c>
      <c r="H23" s="315">
        <v>26186521.6</v>
      </c>
      <c r="I23" s="315">
        <f>SUM(I25:I29)</f>
        <v>26245108.2</v>
      </c>
      <c r="J23" s="315">
        <f>SUM(J25:J29)</f>
        <v>21368685.722000003</v>
      </c>
      <c r="K23" s="316">
        <f t="shared" si="2"/>
        <v>86216.48051315076</v>
      </c>
      <c r="L23" s="317">
        <f t="shared" si="3"/>
        <v>81.60184864720637</v>
      </c>
      <c r="M23" s="315">
        <f>SUM(M25:M29)</f>
        <v>24784.64</v>
      </c>
      <c r="N23" s="316">
        <f>M23/G23*100</f>
        <v>99.99887028079978</v>
      </c>
      <c r="O23" s="330">
        <f t="shared" si="4"/>
        <v>0.09443527460862211</v>
      </c>
      <c r="P23" s="372">
        <f>SUM(P25:P29)</f>
        <v>25417162.395700004</v>
      </c>
      <c r="Q23" s="319">
        <f t="shared" si="5"/>
        <v>102550.91562006253</v>
      </c>
      <c r="R23" s="464" t="s">
        <v>291</v>
      </c>
      <c r="S23" s="373">
        <f>SUM(S25:S29)</f>
        <v>5025869.7</v>
      </c>
      <c r="T23" s="374">
        <f>SUM(T25:T29)</f>
        <v>3972373.3</v>
      </c>
      <c r="U23" s="375">
        <f t="shared" si="6"/>
        <v>79.0385254118307</v>
      </c>
    </row>
    <row r="24" spans="1:21" ht="27.75" customHeight="1">
      <c r="A24" s="462"/>
      <c r="B24" s="462"/>
      <c r="C24" s="461"/>
      <c r="D24" s="466"/>
      <c r="E24" s="463"/>
      <c r="F24" s="320" t="s">
        <v>29</v>
      </c>
      <c r="G24" s="321"/>
      <c r="H24" s="321"/>
      <c r="I24" s="321"/>
      <c r="J24" s="321"/>
      <c r="K24" s="322"/>
      <c r="L24" s="321"/>
      <c r="M24" s="323"/>
      <c r="N24" s="322"/>
      <c r="O24" s="323"/>
      <c r="P24" s="324"/>
      <c r="Q24" s="325"/>
      <c r="R24" s="464"/>
      <c r="S24" s="376"/>
      <c r="T24" s="377"/>
      <c r="U24" s="378"/>
    </row>
    <row r="25" spans="1:21" ht="12.75" customHeight="1" hidden="1">
      <c r="A25" s="462"/>
      <c r="B25" s="462"/>
      <c r="C25" s="461"/>
      <c r="D25" s="466"/>
      <c r="E25" s="462"/>
      <c r="F25" s="379" t="s">
        <v>27</v>
      </c>
      <c r="G25" s="329">
        <v>0</v>
      </c>
      <c r="H25" s="329">
        <v>1880566.8</v>
      </c>
      <c r="I25" s="329">
        <v>1967385.9</v>
      </c>
      <c r="J25" s="48">
        <v>1655532</v>
      </c>
      <c r="K25" s="328" t="e">
        <f aca="true" t="shared" si="7" ref="K25:K30">J25/G25*100</f>
        <v>#DIV/0!</v>
      </c>
      <c r="L25" s="329">
        <f aca="true" t="shared" si="8" ref="L25:L30">IF(H25=0,0,J25*100/H25)</f>
        <v>88.03367155051339</v>
      </c>
      <c r="M25" s="48">
        <v>0</v>
      </c>
      <c r="N25" s="328">
        <f>IF(G25=0,0,M25/G25*100)</f>
        <v>0</v>
      </c>
      <c r="O25" s="328">
        <f aca="true" t="shared" si="9" ref="O25:O30">IF(I25=0,0,M25*100/I25)</f>
        <v>0</v>
      </c>
      <c r="P25" s="380">
        <v>1794060.7272</v>
      </c>
      <c r="Q25" s="332" t="e">
        <f aca="true" t="shared" si="10" ref="Q25:Q30">P25*100/G25</f>
        <v>#DIV/0!</v>
      </c>
      <c r="R25" s="464"/>
      <c r="S25" s="381">
        <v>236915</v>
      </c>
      <c r="T25" s="48">
        <v>134582.5</v>
      </c>
      <c r="U25" s="329">
        <f aca="true" t="shared" si="11" ref="U25:U30">IF(S25=0,0,T25*100/S25)</f>
        <v>56.80623852436528</v>
      </c>
    </row>
    <row r="26" spans="1:21" ht="1.5" customHeight="1" hidden="1">
      <c r="A26" s="462"/>
      <c r="B26" s="462"/>
      <c r="C26" s="461"/>
      <c r="D26" s="466"/>
      <c r="E26" s="462"/>
      <c r="F26" s="52" t="s">
        <v>30</v>
      </c>
      <c r="G26" s="49">
        <v>0</v>
      </c>
      <c r="H26" s="49">
        <v>23852945.5</v>
      </c>
      <c r="I26" s="49">
        <v>23852945.5</v>
      </c>
      <c r="J26" s="382">
        <v>19388516.3</v>
      </c>
      <c r="K26" s="328" t="e">
        <f t="shared" si="7"/>
        <v>#DIV/0!</v>
      </c>
      <c r="L26" s="329">
        <f t="shared" si="8"/>
        <v>81.28353079077802</v>
      </c>
      <c r="M26" s="49">
        <v>0</v>
      </c>
      <c r="N26" s="328">
        <f>IF(G26=0,0,M26/G26*100)</f>
        <v>0</v>
      </c>
      <c r="O26" s="328">
        <f t="shared" si="9"/>
        <v>0</v>
      </c>
      <c r="P26" s="383">
        <v>23198413</v>
      </c>
      <c r="Q26" s="332" t="e">
        <f t="shared" si="10"/>
        <v>#DIV/0!</v>
      </c>
      <c r="R26" s="464"/>
      <c r="S26" s="345">
        <v>4734107.9</v>
      </c>
      <c r="T26" s="48">
        <v>3771108.1</v>
      </c>
      <c r="U26" s="329">
        <f t="shared" si="11"/>
        <v>79.65826254192474</v>
      </c>
    </row>
    <row r="27" spans="1:21" ht="96" customHeight="1">
      <c r="A27" s="462"/>
      <c r="B27" s="462"/>
      <c r="C27" s="461"/>
      <c r="D27" s="466"/>
      <c r="E27" s="462"/>
      <c r="F27" s="52" t="s">
        <v>290</v>
      </c>
      <c r="G27" s="49">
        <v>24784.92</v>
      </c>
      <c r="H27" s="49"/>
      <c r="I27" s="49"/>
      <c r="J27" s="382"/>
      <c r="K27" s="328"/>
      <c r="L27" s="329"/>
      <c r="M27" s="49">
        <v>24784.64</v>
      </c>
      <c r="N27" s="328">
        <f>IF(G27=0,0,M27/G27*100)</f>
        <v>99.99887028079978</v>
      </c>
      <c r="O27" s="328"/>
      <c r="P27" s="383"/>
      <c r="Q27" s="332"/>
      <c r="R27" s="464"/>
      <c r="S27" s="345"/>
      <c r="T27" s="48"/>
      <c r="U27" s="329"/>
    </row>
    <row r="28" spans="1:21" ht="18.75" customHeight="1" hidden="1">
      <c r="A28" s="462"/>
      <c r="B28" s="462"/>
      <c r="C28" s="461"/>
      <c r="D28" s="466"/>
      <c r="E28" s="462"/>
      <c r="F28" s="52" t="s">
        <v>239</v>
      </c>
      <c r="G28" s="384">
        <v>0</v>
      </c>
      <c r="H28" s="49">
        <v>88131.5</v>
      </c>
      <c r="I28" s="49">
        <v>88131.5</v>
      </c>
      <c r="J28" s="49">
        <v>81449.62199999999</v>
      </c>
      <c r="K28" s="328" t="e">
        <f t="shared" si="7"/>
        <v>#DIV/0!</v>
      </c>
      <c r="L28" s="329">
        <f t="shared" si="8"/>
        <v>92.41828631079693</v>
      </c>
      <c r="M28" s="49">
        <v>0</v>
      </c>
      <c r="N28" s="328">
        <f>IF(G28=0,0,M28/G28*100)</f>
        <v>0</v>
      </c>
      <c r="O28" s="328">
        <f t="shared" si="9"/>
        <v>0</v>
      </c>
      <c r="P28" s="383">
        <v>88043.36850000001</v>
      </c>
      <c r="Q28" s="332" t="e">
        <f t="shared" si="10"/>
        <v>#DIV/0!</v>
      </c>
      <c r="R28" s="464"/>
      <c r="S28" s="345">
        <v>899</v>
      </c>
      <c r="T28" s="48">
        <v>810.9</v>
      </c>
      <c r="U28" s="329">
        <f t="shared" si="11"/>
        <v>90.20022246941046</v>
      </c>
    </row>
    <row r="29" spans="1:21" ht="39" customHeight="1" hidden="1">
      <c r="A29" s="462"/>
      <c r="B29" s="462"/>
      <c r="C29" s="461"/>
      <c r="D29" s="466"/>
      <c r="E29" s="462"/>
      <c r="F29" s="52" t="s">
        <v>240</v>
      </c>
      <c r="G29" s="385">
        <v>0</v>
      </c>
      <c r="H29" s="328">
        <v>342628.3</v>
      </c>
      <c r="I29" s="328">
        <v>336645.3</v>
      </c>
      <c r="J29" s="49">
        <v>243187.8</v>
      </c>
      <c r="K29" s="386" t="e">
        <f t="shared" si="7"/>
        <v>#DIV/0!</v>
      </c>
      <c r="L29" s="329">
        <f t="shared" si="8"/>
        <v>70.9771492897697</v>
      </c>
      <c r="M29" s="49">
        <v>0</v>
      </c>
      <c r="N29" s="328">
        <f>IF(G29=0,0,M29/G29*100)</f>
        <v>0</v>
      </c>
      <c r="O29" s="328">
        <f t="shared" si="9"/>
        <v>0</v>
      </c>
      <c r="P29" s="383">
        <v>336645.3</v>
      </c>
      <c r="Q29" s="332" t="e">
        <f t="shared" si="10"/>
        <v>#DIV/0!</v>
      </c>
      <c r="R29" s="464"/>
      <c r="S29" s="387">
        <v>53947.8</v>
      </c>
      <c r="T29" s="48">
        <v>65871.8</v>
      </c>
      <c r="U29" s="329">
        <f t="shared" si="11"/>
        <v>122.10284756746336</v>
      </c>
    </row>
    <row r="30" spans="1:21" ht="25.5" customHeight="1">
      <c r="A30" s="462" t="s">
        <v>47</v>
      </c>
      <c r="B30" s="462">
        <v>4</v>
      </c>
      <c r="C30" s="461" t="s">
        <v>246</v>
      </c>
      <c r="D30" s="462" t="s">
        <v>247</v>
      </c>
      <c r="E30" s="462" t="s">
        <v>244</v>
      </c>
      <c r="F30" s="371" t="s">
        <v>26</v>
      </c>
      <c r="G30" s="315">
        <f>SUM(G32:G36)</f>
        <v>4349.47</v>
      </c>
      <c r="H30" s="315">
        <v>293028.6</v>
      </c>
      <c r="I30" s="315">
        <f>SUM(I32:I36)</f>
        <v>293028.6</v>
      </c>
      <c r="J30" s="315">
        <f>SUM(J32:J36)</f>
        <v>175964</v>
      </c>
      <c r="K30" s="316">
        <f t="shared" si="7"/>
        <v>4045.6423426302513</v>
      </c>
      <c r="L30" s="317">
        <f t="shared" si="8"/>
        <v>60.05011114956015</v>
      </c>
      <c r="M30" s="315">
        <f>SUM(M32:M36)</f>
        <v>4349.47</v>
      </c>
      <c r="N30" s="316">
        <f>M30/G30*100</f>
        <v>100</v>
      </c>
      <c r="O30" s="330">
        <f t="shared" si="9"/>
        <v>1.4843158654138198</v>
      </c>
      <c r="P30" s="372">
        <f>SUM(P32:P36)</f>
        <v>285828.4</v>
      </c>
      <c r="Q30" s="319">
        <f t="shared" si="10"/>
        <v>6571.568489953949</v>
      </c>
      <c r="R30" s="464" t="s">
        <v>294</v>
      </c>
      <c r="S30" s="373">
        <f>SUM(S32:S36)</f>
        <v>120219.7</v>
      </c>
      <c r="T30" s="373">
        <f>SUM(T32:T36)</f>
        <v>112786</v>
      </c>
      <c r="U30" s="388">
        <f t="shared" si="11"/>
        <v>93.81657082824196</v>
      </c>
    </row>
    <row r="31" spans="1:21" ht="14.25" customHeight="1">
      <c r="A31" s="462"/>
      <c r="B31" s="462"/>
      <c r="C31" s="461">
        <v>0</v>
      </c>
      <c r="D31" s="462"/>
      <c r="E31" s="463"/>
      <c r="F31" s="320" t="s">
        <v>29</v>
      </c>
      <c r="G31" s="321"/>
      <c r="H31" s="321"/>
      <c r="I31" s="321"/>
      <c r="J31" s="321"/>
      <c r="K31" s="322"/>
      <c r="L31" s="321"/>
      <c r="M31" s="323"/>
      <c r="N31" s="322"/>
      <c r="O31" s="323"/>
      <c r="P31" s="324"/>
      <c r="Q31" s="325"/>
      <c r="R31" s="464"/>
      <c r="S31" s="376"/>
      <c r="T31" s="389"/>
      <c r="U31" s="378"/>
    </row>
    <row r="32" spans="1:21" ht="25.5" hidden="1">
      <c r="A32" s="462"/>
      <c r="B32" s="462"/>
      <c r="C32" s="461"/>
      <c r="D32" s="462"/>
      <c r="E32" s="462"/>
      <c r="F32" s="379" t="s">
        <v>27</v>
      </c>
      <c r="G32" s="384">
        <v>0</v>
      </c>
      <c r="H32" s="384">
        <v>69692.6</v>
      </c>
      <c r="I32" s="384">
        <v>69692.6</v>
      </c>
      <c r="J32" s="48">
        <v>36473.9</v>
      </c>
      <c r="K32" s="328" t="e">
        <f>J32/G32*100</f>
        <v>#DIV/0!</v>
      </c>
      <c r="L32" s="329">
        <f>IF(H32=0,0,J32*100/H32)</f>
        <v>52.33539859325093</v>
      </c>
      <c r="M32" s="48">
        <v>0</v>
      </c>
      <c r="N32" s="328">
        <f>IF(G32=0,0,M32/G32*100)</f>
        <v>0</v>
      </c>
      <c r="O32" s="328">
        <f aca="true" t="shared" si="12" ref="O32:O37">IF(I32=0,0,M32*100/I32)</f>
        <v>0</v>
      </c>
      <c r="P32" s="380">
        <v>62492.4</v>
      </c>
      <c r="Q32" s="332" t="e">
        <f>P32*100/G32</f>
        <v>#DIV/0!</v>
      </c>
      <c r="R32" s="464"/>
      <c r="S32" s="381">
        <v>32892.3</v>
      </c>
      <c r="T32" s="48">
        <v>25459</v>
      </c>
      <c r="U32" s="329">
        <f aca="true" t="shared" si="13" ref="U32:U37">IF(S32=0,0,T32*100/S32)</f>
        <v>77.40109387303411</v>
      </c>
    </row>
    <row r="33" spans="1:21" ht="25.5" hidden="1">
      <c r="A33" s="462"/>
      <c r="B33" s="462"/>
      <c r="C33" s="461">
        <v>0</v>
      </c>
      <c r="D33" s="462"/>
      <c r="E33" s="462"/>
      <c r="F33" s="52" t="s">
        <v>30</v>
      </c>
      <c r="G33" s="384">
        <v>0</v>
      </c>
      <c r="H33" s="384">
        <v>223336</v>
      </c>
      <c r="I33" s="384">
        <v>223336</v>
      </c>
      <c r="J33" s="382">
        <v>139490.1</v>
      </c>
      <c r="K33" s="328" t="e">
        <f>J33/G33*100</f>
        <v>#DIV/0!</v>
      </c>
      <c r="L33" s="329">
        <f>IF(H33=0,0,J33*100/H33)</f>
        <v>62.45750797005409</v>
      </c>
      <c r="M33" s="49">
        <v>0</v>
      </c>
      <c r="N33" s="328">
        <f>IF(G33=0,0,M33/G33*100)</f>
        <v>0</v>
      </c>
      <c r="O33" s="328">
        <f t="shared" si="12"/>
        <v>0</v>
      </c>
      <c r="P33" s="383">
        <v>223336</v>
      </c>
      <c r="Q33" s="332" t="e">
        <f>P33*100/G33</f>
        <v>#DIV/0!</v>
      </c>
      <c r="R33" s="464"/>
      <c r="S33" s="345">
        <v>87327.4</v>
      </c>
      <c r="T33" s="48">
        <v>87327</v>
      </c>
      <c r="U33" s="329">
        <f t="shared" si="13"/>
        <v>99.99954195361364</v>
      </c>
    </row>
    <row r="34" spans="1:21" ht="49.5" customHeight="1">
      <c r="A34" s="462"/>
      <c r="B34" s="462"/>
      <c r="C34" s="461"/>
      <c r="D34" s="462"/>
      <c r="E34" s="462"/>
      <c r="F34" s="52" t="s">
        <v>290</v>
      </c>
      <c r="G34" s="384">
        <v>4349.47</v>
      </c>
      <c r="H34" s="384"/>
      <c r="I34" s="384"/>
      <c r="J34" s="382"/>
      <c r="K34" s="328"/>
      <c r="L34" s="329"/>
      <c r="M34" s="49">
        <v>4349.47</v>
      </c>
      <c r="N34" s="328">
        <f>IF(G34=0,0,M34/G34*100)</f>
        <v>100</v>
      </c>
      <c r="O34" s="328"/>
      <c r="P34" s="383"/>
      <c r="Q34" s="390"/>
      <c r="R34" s="464"/>
      <c r="S34" s="345"/>
      <c r="T34" s="48"/>
      <c r="U34" s="329"/>
    </row>
    <row r="35" spans="1:21" ht="12.75" hidden="1">
      <c r="A35" s="462"/>
      <c r="B35" s="462"/>
      <c r="C35" s="461">
        <v>0</v>
      </c>
      <c r="D35" s="462"/>
      <c r="E35" s="462"/>
      <c r="F35" s="52" t="s">
        <v>239</v>
      </c>
      <c r="G35" s="384">
        <v>0</v>
      </c>
      <c r="H35" s="49">
        <v>0</v>
      </c>
      <c r="I35" s="49">
        <v>0</v>
      </c>
      <c r="J35" s="49">
        <v>0</v>
      </c>
      <c r="K35" s="328">
        <v>0</v>
      </c>
      <c r="L35" s="329">
        <f>IF(H35=0,0,J35*100/H35)</f>
        <v>0</v>
      </c>
      <c r="M35" s="49">
        <v>0</v>
      </c>
      <c r="N35" s="328">
        <f>IF(G35=0,0,M35/G35*100)</f>
        <v>0</v>
      </c>
      <c r="O35" s="328">
        <f t="shared" si="12"/>
        <v>0</v>
      </c>
      <c r="P35" s="383">
        <v>0</v>
      </c>
      <c r="Q35" s="391">
        <v>0</v>
      </c>
      <c r="R35" s="464"/>
      <c r="S35" s="345">
        <v>0</v>
      </c>
      <c r="T35" s="387">
        <v>0</v>
      </c>
      <c r="U35" s="329">
        <f t="shared" si="13"/>
        <v>0</v>
      </c>
    </row>
    <row r="36" spans="1:21" ht="37.5" customHeight="1" hidden="1">
      <c r="A36" s="462"/>
      <c r="B36" s="462"/>
      <c r="C36" s="461"/>
      <c r="D36" s="462"/>
      <c r="E36" s="462"/>
      <c r="F36" s="52" t="s">
        <v>240</v>
      </c>
      <c r="G36" s="384">
        <v>0</v>
      </c>
      <c r="H36" s="328">
        <v>0</v>
      </c>
      <c r="I36" s="328">
        <v>0</v>
      </c>
      <c r="J36" s="49">
        <v>0</v>
      </c>
      <c r="K36" s="328">
        <v>0</v>
      </c>
      <c r="L36" s="329">
        <f>IF(H36=0,0,J36*100/H36)</f>
        <v>0</v>
      </c>
      <c r="M36" s="49">
        <v>0</v>
      </c>
      <c r="N36" s="328">
        <f>IF(G36=0,0,M36/G36*100)</f>
        <v>0</v>
      </c>
      <c r="O36" s="328">
        <f t="shared" si="12"/>
        <v>0</v>
      </c>
      <c r="P36" s="383">
        <v>0</v>
      </c>
      <c r="Q36" s="391">
        <v>0</v>
      </c>
      <c r="R36" s="464"/>
      <c r="S36" s="387">
        <v>0</v>
      </c>
      <c r="T36" s="387">
        <v>0</v>
      </c>
      <c r="U36" s="329">
        <f t="shared" si="13"/>
        <v>0</v>
      </c>
    </row>
    <row r="37" spans="1:21" ht="25.5">
      <c r="A37" s="462" t="s">
        <v>47</v>
      </c>
      <c r="B37" s="462">
        <v>5</v>
      </c>
      <c r="C37" s="461" t="s">
        <v>295</v>
      </c>
      <c r="D37" s="462" t="s">
        <v>250</v>
      </c>
      <c r="E37" s="462" t="s">
        <v>248</v>
      </c>
      <c r="F37" s="371" t="s">
        <v>26</v>
      </c>
      <c r="G37" s="315">
        <f>SUM(G39+G40+G42+G43+G41)</f>
        <v>308664.22</v>
      </c>
      <c r="H37" s="315">
        <f aca="true" t="shared" si="14" ref="H37:M37">SUM(H39+H40+H42+H43+H41)</f>
        <v>2712967.5000000005</v>
      </c>
      <c r="I37" s="315">
        <f t="shared" si="14"/>
        <v>2721970.4</v>
      </c>
      <c r="J37" s="315">
        <f t="shared" si="14"/>
        <v>1925251.5000000002</v>
      </c>
      <c r="K37" s="315" t="e">
        <f t="shared" si="14"/>
        <v>#DIV/0!</v>
      </c>
      <c r="L37" s="315">
        <f t="shared" si="14"/>
        <v>96.44270436240049</v>
      </c>
      <c r="M37" s="315">
        <f t="shared" si="14"/>
        <v>278675.99</v>
      </c>
      <c r="N37" s="316">
        <f>M37/G37*100</f>
        <v>90.28451370230084</v>
      </c>
      <c r="O37" s="330">
        <f t="shared" si="12"/>
        <v>10.238024263599634</v>
      </c>
      <c r="P37" s="372">
        <f>SUM(P39:P43)</f>
        <v>2567287.8000000003</v>
      </c>
      <c r="Q37" s="319">
        <f>P37*100/G37</f>
        <v>831.7413012755416</v>
      </c>
      <c r="R37" s="464" t="s">
        <v>307</v>
      </c>
      <c r="S37" s="315" t="e">
        <f>SUM(S39+S40+S42+#REF!+#REF!)</f>
        <v>#REF!</v>
      </c>
      <c r="T37" s="315" t="e">
        <f>SUM(T39+T40+T42+#REF!+#REF!)</f>
        <v>#REF!</v>
      </c>
      <c r="U37" s="388" t="e">
        <f t="shared" si="13"/>
        <v>#REF!</v>
      </c>
    </row>
    <row r="38" spans="1:21" ht="14.25" customHeight="1">
      <c r="A38" s="462"/>
      <c r="B38" s="462"/>
      <c r="C38" s="461"/>
      <c r="D38" s="462"/>
      <c r="E38" s="463"/>
      <c r="F38" s="320" t="s">
        <v>29</v>
      </c>
      <c r="G38" s="321"/>
      <c r="H38" s="321"/>
      <c r="I38" s="321"/>
      <c r="J38" s="321"/>
      <c r="K38" s="322"/>
      <c r="L38" s="321"/>
      <c r="M38" s="323"/>
      <c r="N38" s="322"/>
      <c r="O38" s="323"/>
      <c r="P38" s="324"/>
      <c r="Q38" s="325"/>
      <c r="R38" s="464"/>
      <c r="S38" s="376"/>
      <c r="T38" s="389"/>
      <c r="U38" s="378"/>
    </row>
    <row r="39" spans="1:21" ht="25.5" hidden="1">
      <c r="A39" s="462"/>
      <c r="B39" s="462"/>
      <c r="C39" s="461"/>
      <c r="D39" s="462"/>
      <c r="E39" s="462"/>
      <c r="F39" s="379" t="s">
        <v>27</v>
      </c>
      <c r="G39" s="384">
        <v>0</v>
      </c>
      <c r="H39" s="329">
        <v>13022.7</v>
      </c>
      <c r="I39" s="329">
        <v>13022.7</v>
      </c>
      <c r="J39" s="48">
        <v>622.6</v>
      </c>
      <c r="K39" s="328" t="e">
        <f>J39/G39*100</f>
        <v>#DIV/0!</v>
      </c>
      <c r="L39" s="329">
        <f>IF(H39=0,0,J39*100/H39)</f>
        <v>4.7808826126686474</v>
      </c>
      <c r="M39" s="48">
        <v>0</v>
      </c>
      <c r="N39" s="328">
        <f>IF(G39=0,0,M39/G39*100)</f>
        <v>0</v>
      </c>
      <c r="O39" s="328">
        <f aca="true" t="shared" si="15" ref="O39:O44">IF(I39=0,0,M39*100/I39)</f>
        <v>0</v>
      </c>
      <c r="P39" s="380">
        <v>13022.7</v>
      </c>
      <c r="Q39" s="332" t="e">
        <f>P39*100/G39</f>
        <v>#DIV/0!</v>
      </c>
      <c r="R39" s="464"/>
      <c r="S39" s="381">
        <v>12400.2</v>
      </c>
      <c r="T39" s="381">
        <v>12400</v>
      </c>
      <c r="U39" s="329">
        <f aca="true" t="shared" si="16" ref="U39:U44">IF(S39=0,0,T39*100/S39)</f>
        <v>99.99838712278833</v>
      </c>
    </row>
    <row r="40" spans="1:21" ht="25.5">
      <c r="A40" s="462"/>
      <c r="B40" s="462"/>
      <c r="C40" s="461"/>
      <c r="D40" s="462"/>
      <c r="E40" s="462"/>
      <c r="F40" s="52" t="s">
        <v>30</v>
      </c>
      <c r="G40" s="384">
        <v>26715.42</v>
      </c>
      <c r="H40" s="328">
        <v>2438950.6</v>
      </c>
      <c r="I40" s="328">
        <v>2446170.4</v>
      </c>
      <c r="J40" s="49">
        <v>1898957.6</v>
      </c>
      <c r="K40" s="328">
        <f>J40/G40*100</f>
        <v>7108.095624175103</v>
      </c>
      <c r="L40" s="329">
        <f>IF(H40=0,0,J40*100/H40)</f>
        <v>77.8596171648577</v>
      </c>
      <c r="M40" s="49">
        <v>16870.88</v>
      </c>
      <c r="N40" s="328">
        <f>IF(G40=0,0,M40/G40*100)</f>
        <v>63.15034538105709</v>
      </c>
      <c r="O40" s="328">
        <f t="shared" si="15"/>
        <v>0.6896853955881406</v>
      </c>
      <c r="P40" s="383">
        <v>2398000</v>
      </c>
      <c r="Q40" s="332">
        <f>P40*100/G40</f>
        <v>8976.089464436644</v>
      </c>
      <c r="R40" s="464"/>
      <c r="S40" s="345">
        <v>198319</v>
      </c>
      <c r="T40" s="387">
        <v>197552.3</v>
      </c>
      <c r="U40" s="329">
        <f t="shared" si="16"/>
        <v>99.61340063231461</v>
      </c>
    </row>
    <row r="41" spans="1:21" ht="12.75">
      <c r="A41" s="462"/>
      <c r="B41" s="462"/>
      <c r="C41" s="461"/>
      <c r="D41" s="462"/>
      <c r="E41" s="462"/>
      <c r="F41" s="52" t="s">
        <v>290</v>
      </c>
      <c r="G41" s="384">
        <v>278034.8</v>
      </c>
      <c r="H41" s="328"/>
      <c r="I41" s="328"/>
      <c r="J41" s="49"/>
      <c r="K41" s="328"/>
      <c r="L41" s="329"/>
      <c r="M41" s="49">
        <v>258360.71</v>
      </c>
      <c r="N41" s="328">
        <f>IF(G41=0,0,M41/G41*100)</f>
        <v>92.92387499694283</v>
      </c>
      <c r="O41" s="328"/>
      <c r="P41" s="383"/>
      <c r="Q41" s="332"/>
      <c r="R41" s="464"/>
      <c r="S41" s="345"/>
      <c r="T41" s="387"/>
      <c r="U41" s="329"/>
    </row>
    <row r="42" spans="1:21" ht="22.5" customHeight="1" hidden="1">
      <c r="A42" s="462"/>
      <c r="B42" s="462"/>
      <c r="C42" s="461"/>
      <c r="D42" s="462"/>
      <c r="E42" s="462"/>
      <c r="F42" s="52" t="s">
        <v>239</v>
      </c>
      <c r="G42" s="384">
        <v>0</v>
      </c>
      <c r="H42" s="328">
        <v>185994.2</v>
      </c>
      <c r="I42" s="328">
        <v>187777.3</v>
      </c>
      <c r="J42" s="49">
        <v>25671.3</v>
      </c>
      <c r="K42" s="328" t="e">
        <f>J42/G42*100</f>
        <v>#DIV/0!</v>
      </c>
      <c r="L42" s="329">
        <f>IF(H42=0,0,J42*100/H42)</f>
        <v>13.80220458487415</v>
      </c>
      <c r="M42" s="49">
        <v>0</v>
      </c>
      <c r="N42" s="328">
        <f>IF(G42=0,0,M42/G42*100)</f>
        <v>0</v>
      </c>
      <c r="O42" s="328">
        <f t="shared" si="15"/>
        <v>0</v>
      </c>
      <c r="P42" s="383">
        <v>156265.1</v>
      </c>
      <c r="Q42" s="332" t="e">
        <f>P42*100/G42</f>
        <v>#DIV/0!</v>
      </c>
      <c r="R42" s="464"/>
      <c r="S42" s="345">
        <v>162106</v>
      </c>
      <c r="T42" s="387">
        <v>160593.8</v>
      </c>
      <c r="U42" s="329">
        <f t="shared" si="16"/>
        <v>99.06715359086029</v>
      </c>
    </row>
    <row r="43" spans="1:21" ht="88.5" customHeight="1">
      <c r="A43" s="462"/>
      <c r="B43" s="462"/>
      <c r="C43" s="461"/>
      <c r="D43" s="462"/>
      <c r="E43" s="462"/>
      <c r="F43" s="52" t="s">
        <v>240</v>
      </c>
      <c r="G43" s="392">
        <v>3914</v>
      </c>
      <c r="H43" s="328">
        <v>75000</v>
      </c>
      <c r="I43" s="328">
        <v>75000</v>
      </c>
      <c r="J43" s="49">
        <v>0</v>
      </c>
      <c r="K43" s="328">
        <v>0</v>
      </c>
      <c r="L43" s="329">
        <f>IF(H43=0,0,J43*100/H43)</f>
        <v>0</v>
      </c>
      <c r="M43" s="49">
        <v>3444.4</v>
      </c>
      <c r="N43" s="328">
        <f>IF(G43=0,0,M43/G43*100)</f>
        <v>88.0020439448135</v>
      </c>
      <c r="O43" s="328">
        <f t="shared" si="15"/>
        <v>4.592533333333333</v>
      </c>
      <c r="P43" s="383"/>
      <c r="Q43" s="390"/>
      <c r="R43" s="464"/>
      <c r="S43" s="345">
        <v>75000</v>
      </c>
      <c r="T43" s="387">
        <v>75000</v>
      </c>
      <c r="U43" s="329">
        <f t="shared" si="16"/>
        <v>100</v>
      </c>
    </row>
    <row r="44" spans="1:21" ht="39.75" customHeight="1">
      <c r="A44" s="462" t="s">
        <v>47</v>
      </c>
      <c r="B44" s="462">
        <v>6</v>
      </c>
      <c r="C44" s="461" t="s">
        <v>249</v>
      </c>
      <c r="D44" s="462" t="s">
        <v>251</v>
      </c>
      <c r="E44" s="462" t="s">
        <v>252</v>
      </c>
      <c r="F44" s="371" t="s">
        <v>26</v>
      </c>
      <c r="G44" s="315">
        <f>G46+G47+G49+G50+G48</f>
        <v>344128.5</v>
      </c>
      <c r="H44" s="315">
        <f aca="true" t="shared" si="17" ref="H44:M44">H46+H47+H49+H50+H48</f>
        <v>6050462.761</v>
      </c>
      <c r="I44" s="315">
        <f t="shared" si="17"/>
        <v>6127719.7</v>
      </c>
      <c r="J44" s="315">
        <f t="shared" si="17"/>
        <v>4360577.4</v>
      </c>
      <c r="K44" s="315" t="e">
        <f t="shared" si="17"/>
        <v>#DIV/0!</v>
      </c>
      <c r="L44" s="315">
        <f t="shared" si="17"/>
        <v>198.6663958880371</v>
      </c>
      <c r="M44" s="315">
        <f t="shared" si="17"/>
        <v>299878.8</v>
      </c>
      <c r="N44" s="316">
        <f>M44/G44*100</f>
        <v>87.14151835724155</v>
      </c>
      <c r="O44" s="317">
        <f t="shared" si="15"/>
        <v>4.893807397880813</v>
      </c>
      <c r="P44" s="315" t="e">
        <f>P46+P47+P49+#REF!+#REF!</f>
        <v>#REF!</v>
      </c>
      <c r="Q44" s="319" t="e">
        <f>P44*100/G44</f>
        <v>#REF!</v>
      </c>
      <c r="R44" s="464" t="s">
        <v>310</v>
      </c>
      <c r="S44" s="345" t="e">
        <f>SUM(S47+S49+#REF!+#REF!+S46)</f>
        <v>#REF!</v>
      </c>
      <c r="T44" s="345" t="e">
        <f>SUM(T47+T49+#REF!+#REF!+T46)</f>
        <v>#REF!</v>
      </c>
      <c r="U44" s="329" t="e">
        <f t="shared" si="16"/>
        <v>#REF!</v>
      </c>
    </row>
    <row r="45" spans="1:21" ht="15" customHeight="1">
      <c r="A45" s="462"/>
      <c r="B45" s="462"/>
      <c r="C45" s="461">
        <v>0</v>
      </c>
      <c r="D45" s="462"/>
      <c r="E45" s="463"/>
      <c r="F45" s="320" t="s">
        <v>29</v>
      </c>
      <c r="G45" s="321"/>
      <c r="H45" s="321"/>
      <c r="I45" s="321"/>
      <c r="J45" s="321"/>
      <c r="K45" s="322"/>
      <c r="L45" s="321"/>
      <c r="M45" s="323"/>
      <c r="N45" s="322"/>
      <c r="O45" s="323"/>
      <c r="P45" s="324"/>
      <c r="Q45" s="325"/>
      <c r="R45" s="464"/>
      <c r="S45" s="376"/>
      <c r="T45" s="389"/>
      <c r="U45" s="393"/>
    </row>
    <row r="46" spans="1:21" ht="30.75" customHeight="1" hidden="1">
      <c r="A46" s="462"/>
      <c r="B46" s="462"/>
      <c r="C46" s="461"/>
      <c r="D46" s="462"/>
      <c r="E46" s="462"/>
      <c r="F46" s="379" t="s">
        <v>27</v>
      </c>
      <c r="G46" s="384">
        <v>0</v>
      </c>
      <c r="H46" s="381">
        <v>6976.461</v>
      </c>
      <c r="I46" s="329">
        <v>6976.5</v>
      </c>
      <c r="J46" s="48">
        <v>6976.5</v>
      </c>
      <c r="K46" s="328" t="e">
        <f>J46/G46*100</f>
        <v>#DIV/0!</v>
      </c>
      <c r="L46" s="329">
        <f>IF(H46=0,0,J46*100/H46)</f>
        <v>100.00055902269072</v>
      </c>
      <c r="M46" s="394">
        <v>0</v>
      </c>
      <c r="N46" s="328">
        <f aca="true" t="shared" si="18" ref="N46:N51">IF(G46=0,0,M46/G46*100)</f>
        <v>0</v>
      </c>
      <c r="O46" s="328">
        <f aca="true" t="shared" si="19" ref="O46:O51">IF(I46=0,0,M46*100/I46)</f>
        <v>0</v>
      </c>
      <c r="P46" s="380">
        <v>6976.5</v>
      </c>
      <c r="Q46" s="332" t="e">
        <f>P46*100/G46</f>
        <v>#DIV/0!</v>
      </c>
      <c r="R46" s="464"/>
      <c r="S46" s="381">
        <v>0</v>
      </c>
      <c r="T46" s="381">
        <v>0</v>
      </c>
      <c r="U46" s="329">
        <f aca="true" t="shared" si="20" ref="U46:U51">IF(S46=0,0,T46*100/S46)</f>
        <v>0</v>
      </c>
    </row>
    <row r="47" spans="1:21" ht="33.75" customHeight="1">
      <c r="A47" s="462"/>
      <c r="B47" s="462"/>
      <c r="C47" s="461">
        <v>0</v>
      </c>
      <c r="D47" s="462"/>
      <c r="E47" s="462"/>
      <c r="F47" s="52" t="s">
        <v>30</v>
      </c>
      <c r="G47" s="384">
        <v>4514</v>
      </c>
      <c r="H47" s="328">
        <v>5070080.3</v>
      </c>
      <c r="I47" s="328">
        <v>5147337.2</v>
      </c>
      <c r="J47" s="49">
        <v>4278462.2</v>
      </c>
      <c r="K47" s="328">
        <f>J47/G47*100</f>
        <v>94782.0602569783</v>
      </c>
      <c r="L47" s="329">
        <f>IF(H47=0,0,J47*100/H47)</f>
        <v>84.3864780603179</v>
      </c>
      <c r="M47" s="49">
        <v>4514</v>
      </c>
      <c r="N47" s="328">
        <f t="shared" si="18"/>
        <v>100</v>
      </c>
      <c r="O47" s="328">
        <f t="shared" si="19"/>
        <v>0.08769582843727432</v>
      </c>
      <c r="P47" s="383">
        <v>5034030.7</v>
      </c>
      <c r="Q47" s="332">
        <f>P47*100/G47</f>
        <v>111520.39654408507</v>
      </c>
      <c r="R47" s="464"/>
      <c r="S47" s="49">
        <v>547487.7000000001</v>
      </c>
      <c r="T47" s="49">
        <v>394199.498</v>
      </c>
      <c r="U47" s="329">
        <f t="shared" si="20"/>
        <v>72.00152587902888</v>
      </c>
    </row>
    <row r="48" spans="1:21" ht="16.5" customHeight="1">
      <c r="A48" s="462"/>
      <c r="B48" s="462"/>
      <c r="C48" s="461"/>
      <c r="D48" s="462"/>
      <c r="E48" s="462"/>
      <c r="F48" s="52" t="s">
        <v>290</v>
      </c>
      <c r="G48" s="384">
        <v>330635.5</v>
      </c>
      <c r="H48" s="328"/>
      <c r="I48" s="328"/>
      <c r="J48" s="49"/>
      <c r="K48" s="328"/>
      <c r="L48" s="329"/>
      <c r="M48" s="49">
        <v>288206.8</v>
      </c>
      <c r="N48" s="328">
        <f t="shared" si="18"/>
        <v>87.1675304073519</v>
      </c>
      <c r="O48" s="328"/>
      <c r="P48" s="383"/>
      <c r="Q48" s="332"/>
      <c r="R48" s="464"/>
      <c r="S48" s="49"/>
      <c r="T48" s="49"/>
      <c r="U48" s="329"/>
    </row>
    <row r="49" spans="1:21" ht="18" customHeight="1" hidden="1">
      <c r="A49" s="462"/>
      <c r="B49" s="462"/>
      <c r="C49" s="461">
        <v>0</v>
      </c>
      <c r="D49" s="462"/>
      <c r="E49" s="462"/>
      <c r="F49" s="52" t="s">
        <v>239</v>
      </c>
      <c r="G49" s="328">
        <v>0</v>
      </c>
      <c r="H49" s="328">
        <v>526205</v>
      </c>
      <c r="I49" s="328">
        <v>526205</v>
      </c>
      <c r="J49" s="49">
        <v>75138.7</v>
      </c>
      <c r="K49" s="328" t="e">
        <f>J49/G49*100</f>
        <v>#DIV/0!</v>
      </c>
      <c r="L49" s="329">
        <f>IF(H49=0,0,J49*100/H49)</f>
        <v>14.279358805028458</v>
      </c>
      <c r="M49" s="49">
        <v>0</v>
      </c>
      <c r="N49" s="328">
        <f t="shared" si="18"/>
        <v>0</v>
      </c>
      <c r="O49" s="328">
        <f t="shared" si="19"/>
        <v>0</v>
      </c>
      <c r="P49" s="383">
        <v>79004</v>
      </c>
      <c r="Q49" s="332" t="e">
        <f>P49*100/G49</f>
        <v>#DIV/0!</v>
      </c>
      <c r="R49" s="464"/>
      <c r="S49" s="49">
        <v>453431.3</v>
      </c>
      <c r="T49" s="49">
        <v>69042</v>
      </c>
      <c r="U49" s="329">
        <f t="shared" si="20"/>
        <v>15.22656243624999</v>
      </c>
    </row>
    <row r="50" spans="1:21" ht="45" customHeight="1">
      <c r="A50" s="462"/>
      <c r="B50" s="462"/>
      <c r="C50" s="461"/>
      <c r="D50" s="462"/>
      <c r="E50" s="462"/>
      <c r="F50" s="52" t="s">
        <v>240</v>
      </c>
      <c r="G50" s="328">
        <v>8979</v>
      </c>
      <c r="H50" s="328">
        <v>447201</v>
      </c>
      <c r="I50" s="328">
        <v>447201</v>
      </c>
      <c r="J50" s="49">
        <v>0</v>
      </c>
      <c r="K50" s="328">
        <v>0</v>
      </c>
      <c r="L50" s="329">
        <v>0</v>
      </c>
      <c r="M50" s="49">
        <v>7158</v>
      </c>
      <c r="N50" s="328">
        <f t="shared" si="18"/>
        <v>79.71934513865686</v>
      </c>
      <c r="O50" s="328">
        <f t="shared" si="19"/>
        <v>1.6006225388583657</v>
      </c>
      <c r="P50" s="383"/>
      <c r="Q50" s="332"/>
      <c r="R50" s="464"/>
      <c r="S50" s="49">
        <v>447201</v>
      </c>
      <c r="T50" s="49">
        <v>65176.7</v>
      </c>
      <c r="U50" s="329">
        <v>0</v>
      </c>
    </row>
    <row r="51" spans="1:21" ht="36.75" customHeight="1">
      <c r="A51" s="462" t="s">
        <v>47</v>
      </c>
      <c r="B51" s="462">
        <v>7</v>
      </c>
      <c r="C51" s="470" t="s">
        <v>253</v>
      </c>
      <c r="D51" s="462" t="s">
        <v>254</v>
      </c>
      <c r="E51" s="462" t="s">
        <v>255</v>
      </c>
      <c r="F51" s="371" t="s">
        <v>26</v>
      </c>
      <c r="G51" s="315">
        <f>SUM(G53:G57)</f>
        <v>111775.45999999999</v>
      </c>
      <c r="H51" s="315">
        <v>2043595.3</v>
      </c>
      <c r="I51" s="395" t="e">
        <f>I53+I54+#REF!</f>
        <v>#REF!</v>
      </c>
      <c r="J51" s="315" t="e">
        <f>SUM(J54+J56+J57+#REF!+J53)</f>
        <v>#REF!</v>
      </c>
      <c r="K51" s="316" t="e">
        <f>J51/G51*100</f>
        <v>#REF!</v>
      </c>
      <c r="L51" s="317" t="e">
        <f>IF(H51=0,0,J51*100/H51)</f>
        <v>#REF!</v>
      </c>
      <c r="M51" s="315">
        <f>SUM(M53:M57)</f>
        <v>110582.28</v>
      </c>
      <c r="N51" s="330">
        <f t="shared" si="18"/>
        <v>98.93252060872754</v>
      </c>
      <c r="O51" s="317" t="e">
        <f t="shared" si="19"/>
        <v>#REF!</v>
      </c>
      <c r="P51" s="372" t="e">
        <f>SUM(P54+P56+P57+#REF!+P53)</f>
        <v>#REF!</v>
      </c>
      <c r="Q51" s="319" t="e">
        <f>P51*100/G51</f>
        <v>#REF!</v>
      </c>
      <c r="R51" s="475" t="s">
        <v>296</v>
      </c>
      <c r="S51" s="77" t="e">
        <f>SUM(S54+S56+S57+#REF!+S53)</f>
        <v>#REF!</v>
      </c>
      <c r="T51" s="77" t="e">
        <f>SUM(T54+T56+T57+#REF!+T53)</f>
        <v>#REF!</v>
      </c>
      <c r="U51" s="388" t="e">
        <f t="shared" si="20"/>
        <v>#REF!</v>
      </c>
    </row>
    <row r="52" spans="1:21" ht="15" customHeight="1">
      <c r="A52" s="462"/>
      <c r="B52" s="462"/>
      <c r="C52" s="471"/>
      <c r="D52" s="462"/>
      <c r="E52" s="463"/>
      <c r="F52" s="320" t="s">
        <v>29</v>
      </c>
      <c r="G52" s="321"/>
      <c r="H52" s="321"/>
      <c r="I52" s="321"/>
      <c r="J52" s="321"/>
      <c r="K52" s="322"/>
      <c r="L52" s="321"/>
      <c r="M52" s="323"/>
      <c r="N52" s="322"/>
      <c r="O52" s="323"/>
      <c r="P52" s="324"/>
      <c r="Q52" s="325"/>
      <c r="R52" s="476"/>
      <c r="S52" s="376"/>
      <c r="T52" s="389"/>
      <c r="U52" s="378"/>
    </row>
    <row r="53" spans="1:21" ht="30.75" customHeight="1" hidden="1">
      <c r="A53" s="462"/>
      <c r="B53" s="462"/>
      <c r="C53" s="471"/>
      <c r="D53" s="462"/>
      <c r="E53" s="462"/>
      <c r="F53" s="379" t="s">
        <v>27</v>
      </c>
      <c r="G53" s="384">
        <v>0</v>
      </c>
      <c r="H53" s="329">
        <v>388092.3</v>
      </c>
      <c r="I53" s="329">
        <v>388092.3</v>
      </c>
      <c r="J53" s="329">
        <v>238619.8</v>
      </c>
      <c r="K53" s="328" t="e">
        <f>J53/G53*100</f>
        <v>#DIV/0!</v>
      </c>
      <c r="L53" s="329">
        <f aca="true" t="shared" si="21" ref="L53:L58">IF(H53=0,0,J53*100/H53)</f>
        <v>61.48532191955368</v>
      </c>
      <c r="M53" s="48">
        <v>0</v>
      </c>
      <c r="N53" s="328">
        <f aca="true" t="shared" si="22" ref="N53:N58">IF(G53=0,0,M53/G53*100)</f>
        <v>0</v>
      </c>
      <c r="O53" s="328">
        <f aca="true" t="shared" si="23" ref="O53:O58">IF(I53=0,0,M53*100/I53)</f>
        <v>0</v>
      </c>
      <c r="P53" s="396">
        <v>264894.7</v>
      </c>
      <c r="Q53" s="332" t="e">
        <f>P53*100/G53</f>
        <v>#DIV/0!</v>
      </c>
      <c r="R53" s="476"/>
      <c r="S53" s="387">
        <v>149472.5</v>
      </c>
      <c r="T53" s="387">
        <v>25909.1</v>
      </c>
      <c r="U53" s="329">
        <f>IF(S53=0,0,T53*100/S53)</f>
        <v>17.333690143671912</v>
      </c>
    </row>
    <row r="54" spans="1:21" ht="33.75" customHeight="1">
      <c r="A54" s="462"/>
      <c r="B54" s="462"/>
      <c r="C54" s="471"/>
      <c r="D54" s="462"/>
      <c r="E54" s="462"/>
      <c r="F54" s="52" t="s">
        <v>30</v>
      </c>
      <c r="G54" s="384">
        <v>78778.39</v>
      </c>
      <c r="H54" s="328">
        <v>1039885.7</v>
      </c>
      <c r="I54" s="328">
        <v>1042517.2</v>
      </c>
      <c r="J54" s="329">
        <v>837926</v>
      </c>
      <c r="K54" s="328">
        <f>J54/G54*100</f>
        <v>1063.6495617643366</v>
      </c>
      <c r="L54" s="329">
        <f t="shared" si="21"/>
        <v>80.57866359735499</v>
      </c>
      <c r="M54" s="49">
        <v>78778.2</v>
      </c>
      <c r="N54" s="328">
        <f t="shared" si="22"/>
        <v>99.99975881710708</v>
      </c>
      <c r="O54" s="328">
        <f t="shared" si="23"/>
        <v>7.556537196700448</v>
      </c>
      <c r="P54" s="396">
        <v>989119</v>
      </c>
      <c r="Q54" s="332">
        <f>P54*100/G54</f>
        <v>1255.5714834994724</v>
      </c>
      <c r="R54" s="476"/>
      <c r="S54" s="345">
        <v>76718.1</v>
      </c>
      <c r="T54" s="387">
        <v>62841</v>
      </c>
      <c r="U54" s="329">
        <f>IF(S54=0,0,T54*100/S54)</f>
        <v>81.9115697599393</v>
      </c>
    </row>
    <row r="55" spans="1:21" ht="101.25" customHeight="1">
      <c r="A55" s="462"/>
      <c r="B55" s="462"/>
      <c r="C55" s="471"/>
      <c r="D55" s="462"/>
      <c r="E55" s="462"/>
      <c r="F55" s="52" t="s">
        <v>290</v>
      </c>
      <c r="G55" s="384">
        <v>31997.07</v>
      </c>
      <c r="H55" s="328"/>
      <c r="I55" s="328"/>
      <c r="J55" s="329"/>
      <c r="K55" s="328"/>
      <c r="L55" s="329"/>
      <c r="M55" s="49">
        <v>30804.08</v>
      </c>
      <c r="N55" s="328">
        <f t="shared" si="22"/>
        <v>96.27156486515798</v>
      </c>
      <c r="O55" s="328"/>
      <c r="P55" s="396"/>
      <c r="Q55" s="390"/>
      <c r="R55" s="476"/>
      <c r="S55" s="345"/>
      <c r="T55" s="387"/>
      <c r="U55" s="329"/>
    </row>
    <row r="56" spans="1:21" ht="26.25" customHeight="1">
      <c r="A56" s="462"/>
      <c r="B56" s="462"/>
      <c r="C56" s="471"/>
      <c r="D56" s="462"/>
      <c r="E56" s="462"/>
      <c r="F56" s="52" t="s">
        <v>239</v>
      </c>
      <c r="G56" s="384">
        <v>1000</v>
      </c>
      <c r="H56" s="328">
        <v>0</v>
      </c>
      <c r="I56" s="328">
        <v>0</v>
      </c>
      <c r="J56" s="392">
        <v>0</v>
      </c>
      <c r="K56" s="328">
        <v>0</v>
      </c>
      <c r="L56" s="329">
        <f t="shared" si="21"/>
        <v>0</v>
      </c>
      <c r="M56" s="392">
        <v>1000</v>
      </c>
      <c r="N56" s="328">
        <f t="shared" si="22"/>
        <v>100</v>
      </c>
      <c r="O56" s="328">
        <f t="shared" si="23"/>
        <v>0</v>
      </c>
      <c r="P56" s="396">
        <v>0</v>
      </c>
      <c r="Q56" s="391">
        <v>0</v>
      </c>
      <c r="R56" s="476"/>
      <c r="S56" s="345">
        <v>0</v>
      </c>
      <c r="T56" s="387">
        <v>0</v>
      </c>
      <c r="U56" s="329">
        <v>0</v>
      </c>
    </row>
    <row r="57" spans="1:21" ht="2.25" customHeight="1">
      <c r="A57" s="462"/>
      <c r="B57" s="462"/>
      <c r="C57" s="471"/>
      <c r="D57" s="462"/>
      <c r="E57" s="462"/>
      <c r="F57" s="52" t="s">
        <v>240</v>
      </c>
      <c r="G57" s="384">
        <v>0</v>
      </c>
      <c r="H57" s="328">
        <v>0</v>
      </c>
      <c r="I57" s="328">
        <v>0</v>
      </c>
      <c r="J57" s="392">
        <v>0</v>
      </c>
      <c r="K57" s="328">
        <v>0</v>
      </c>
      <c r="L57" s="329">
        <f t="shared" si="21"/>
        <v>0</v>
      </c>
      <c r="M57" s="392">
        <v>0</v>
      </c>
      <c r="N57" s="328">
        <f t="shared" si="22"/>
        <v>0</v>
      </c>
      <c r="O57" s="328">
        <f t="shared" si="23"/>
        <v>0</v>
      </c>
      <c r="P57" s="396">
        <v>0</v>
      </c>
      <c r="Q57" s="391">
        <v>0</v>
      </c>
      <c r="R57" s="477"/>
      <c r="S57" s="345">
        <v>0</v>
      </c>
      <c r="T57" s="387">
        <v>0</v>
      </c>
      <c r="U57" s="329">
        <v>0</v>
      </c>
    </row>
    <row r="58" spans="1:21" ht="42.75" customHeight="1">
      <c r="A58" s="462" t="s">
        <v>90</v>
      </c>
      <c r="B58" s="462">
        <v>8</v>
      </c>
      <c r="C58" s="461" t="s">
        <v>311</v>
      </c>
      <c r="D58" s="462" t="s">
        <v>256</v>
      </c>
      <c r="E58" s="462" t="s">
        <v>244</v>
      </c>
      <c r="F58" s="371" t="s">
        <v>26</v>
      </c>
      <c r="G58" s="315">
        <f>SUM(G60:G64)</f>
        <v>15128.1</v>
      </c>
      <c r="H58" s="315">
        <v>2268883.7</v>
      </c>
      <c r="I58" s="315">
        <f>SUM(I60:I64)</f>
        <v>1897885.9000000001</v>
      </c>
      <c r="J58" s="315">
        <f>SUM(J60:J64)</f>
        <v>1431901.8</v>
      </c>
      <c r="K58" s="316">
        <f>J58/G58*100</f>
        <v>9465.17936819561</v>
      </c>
      <c r="L58" s="317">
        <f t="shared" si="21"/>
        <v>63.11040975789107</v>
      </c>
      <c r="M58" s="315">
        <f>SUM(M60:M64)</f>
        <v>15077.6</v>
      </c>
      <c r="N58" s="330">
        <f t="shared" si="22"/>
        <v>99.6661841209405</v>
      </c>
      <c r="O58" s="330">
        <f t="shared" si="23"/>
        <v>0.7944418576480282</v>
      </c>
      <c r="P58" s="372">
        <f>SUM(P60:P64)</f>
        <v>1887715.2000000002</v>
      </c>
      <c r="Q58" s="319">
        <f>P58*100/G58</f>
        <v>12478.204136672815</v>
      </c>
      <c r="R58" s="469" t="s">
        <v>314</v>
      </c>
      <c r="S58" s="77">
        <f>SUM(S60:S64)</f>
        <v>440667.60000000003</v>
      </c>
      <c r="T58" s="77">
        <f>SUM(T60:T64)</f>
        <v>465909.80000000005</v>
      </c>
      <c r="U58" s="388">
        <f>IF(S58=0,0,T58*100/S58)</f>
        <v>105.72817243654855</v>
      </c>
    </row>
    <row r="59" spans="1:21" ht="15" customHeight="1">
      <c r="A59" s="462"/>
      <c r="B59" s="462"/>
      <c r="C59" s="461"/>
      <c r="D59" s="462"/>
      <c r="E59" s="463"/>
      <c r="F59" s="320" t="s">
        <v>29</v>
      </c>
      <c r="G59" s="321"/>
      <c r="H59" s="321"/>
      <c r="I59" s="321"/>
      <c r="J59" s="321"/>
      <c r="K59" s="322"/>
      <c r="L59" s="321"/>
      <c r="M59" s="323"/>
      <c r="N59" s="322"/>
      <c r="O59" s="323"/>
      <c r="P59" s="324"/>
      <c r="Q59" s="325"/>
      <c r="R59" s="469"/>
      <c r="S59" s="376"/>
      <c r="T59" s="389"/>
      <c r="U59" s="378"/>
    </row>
    <row r="60" spans="1:21" ht="30.75" customHeight="1" hidden="1">
      <c r="A60" s="462"/>
      <c r="B60" s="462"/>
      <c r="C60" s="461"/>
      <c r="D60" s="462"/>
      <c r="E60" s="462"/>
      <c r="F60" s="379" t="s">
        <v>27</v>
      </c>
      <c r="G60" s="384">
        <v>0</v>
      </c>
      <c r="H60" s="329">
        <v>11753.6</v>
      </c>
      <c r="I60" s="329">
        <v>21924.3</v>
      </c>
      <c r="J60" s="48">
        <v>10916.8</v>
      </c>
      <c r="K60" s="328" t="e">
        <f>J60/G60*100</f>
        <v>#DIV/0!</v>
      </c>
      <c r="L60" s="329">
        <f aca="true" t="shared" si="24" ref="L60:L65">IF(H60=0,0,J60*100/H60)</f>
        <v>92.88047917233868</v>
      </c>
      <c r="M60" s="48">
        <v>0</v>
      </c>
      <c r="N60" s="328">
        <f aca="true" t="shared" si="25" ref="N60:N65">IF(G60=0,0,M60/G60*100)</f>
        <v>0</v>
      </c>
      <c r="O60" s="328">
        <f aca="true" t="shared" si="26" ref="O60:O65">IF(I60=0,0,M60*100/I60)</f>
        <v>0</v>
      </c>
      <c r="P60" s="380">
        <v>11753.6</v>
      </c>
      <c r="Q60" s="332" t="e">
        <f>P60*100/G60</f>
        <v>#DIV/0!</v>
      </c>
      <c r="R60" s="469"/>
      <c r="S60" s="381">
        <v>10170.7</v>
      </c>
      <c r="T60" s="381">
        <v>11007.4</v>
      </c>
      <c r="U60" s="329">
        <f aca="true" t="shared" si="27" ref="U60:U65">IF(S60=0,0,T60*100/S60)</f>
        <v>108.22657240897873</v>
      </c>
    </row>
    <row r="61" spans="1:21" ht="33.75" customHeight="1">
      <c r="A61" s="462"/>
      <c r="B61" s="462"/>
      <c r="C61" s="461"/>
      <c r="D61" s="462"/>
      <c r="E61" s="462"/>
      <c r="F61" s="52" t="s">
        <v>30</v>
      </c>
      <c r="G61" s="384">
        <v>3895.1</v>
      </c>
      <c r="H61" s="49">
        <v>1631961.6</v>
      </c>
      <c r="I61" s="49">
        <v>1857961.6</v>
      </c>
      <c r="J61" s="49">
        <v>1414270</v>
      </c>
      <c r="K61" s="328">
        <f>J61/G61*100</f>
        <v>36308.952273369105</v>
      </c>
      <c r="L61" s="329">
        <f t="shared" si="24"/>
        <v>86.66074005662878</v>
      </c>
      <c r="M61" s="49">
        <v>3895</v>
      </c>
      <c r="N61" s="397">
        <f t="shared" si="25"/>
        <v>99.99743267181844</v>
      </c>
      <c r="O61" s="328">
        <f t="shared" si="26"/>
        <v>0.20963834774626128</v>
      </c>
      <c r="P61" s="383">
        <v>1857961.6</v>
      </c>
      <c r="Q61" s="332">
        <f>P61*100/G61</f>
        <v>47699.971759390006</v>
      </c>
      <c r="R61" s="469"/>
      <c r="S61" s="345">
        <v>419211.9</v>
      </c>
      <c r="T61" s="387">
        <v>443617.4</v>
      </c>
      <c r="U61" s="387">
        <f>IF(S61=0,0,T61*100/S61)</f>
        <v>105.82175744533968</v>
      </c>
    </row>
    <row r="62" spans="1:21" ht="73.5" customHeight="1">
      <c r="A62" s="462"/>
      <c r="B62" s="462"/>
      <c r="C62" s="461"/>
      <c r="D62" s="462"/>
      <c r="E62" s="462"/>
      <c r="F62" s="52" t="s">
        <v>290</v>
      </c>
      <c r="G62" s="384">
        <v>11233</v>
      </c>
      <c r="H62" s="49"/>
      <c r="I62" s="49"/>
      <c r="J62" s="49"/>
      <c r="K62" s="328"/>
      <c r="L62" s="329"/>
      <c r="M62" s="49">
        <v>11182.6</v>
      </c>
      <c r="N62" s="397">
        <f t="shared" si="25"/>
        <v>99.55132199768539</v>
      </c>
      <c r="O62" s="328"/>
      <c r="P62" s="383"/>
      <c r="Q62" s="390"/>
      <c r="R62" s="469"/>
      <c r="S62" s="345"/>
      <c r="T62" s="387"/>
      <c r="U62" s="381"/>
    </row>
    <row r="63" spans="1:21" ht="24.75" customHeight="1" hidden="1">
      <c r="A63" s="462"/>
      <c r="B63" s="462"/>
      <c r="C63" s="461"/>
      <c r="D63" s="462"/>
      <c r="E63" s="462"/>
      <c r="F63" s="52" t="s">
        <v>239</v>
      </c>
      <c r="G63" s="384">
        <v>0</v>
      </c>
      <c r="H63" s="328">
        <v>0</v>
      </c>
      <c r="I63" s="328">
        <v>0</v>
      </c>
      <c r="J63" s="49">
        <v>0</v>
      </c>
      <c r="K63" s="328">
        <v>0</v>
      </c>
      <c r="L63" s="329">
        <f t="shared" si="24"/>
        <v>0</v>
      </c>
      <c r="M63" s="49">
        <v>0</v>
      </c>
      <c r="N63" s="328">
        <f t="shared" si="25"/>
        <v>0</v>
      </c>
      <c r="O63" s="328">
        <f t="shared" si="26"/>
        <v>0</v>
      </c>
      <c r="P63" s="383">
        <v>0</v>
      </c>
      <c r="Q63" s="391">
        <v>0</v>
      </c>
      <c r="R63" s="469"/>
      <c r="S63" s="345">
        <v>0</v>
      </c>
      <c r="T63" s="387">
        <v>0</v>
      </c>
      <c r="U63" s="329">
        <f t="shared" si="27"/>
        <v>0</v>
      </c>
    </row>
    <row r="64" spans="1:21" ht="25.5" customHeight="1" hidden="1">
      <c r="A64" s="462"/>
      <c r="B64" s="462"/>
      <c r="C64" s="461"/>
      <c r="D64" s="462"/>
      <c r="E64" s="462"/>
      <c r="F64" s="52" t="s">
        <v>240</v>
      </c>
      <c r="G64" s="384">
        <v>0</v>
      </c>
      <c r="H64" s="328">
        <v>18000</v>
      </c>
      <c r="I64" s="328">
        <v>18000</v>
      </c>
      <c r="J64" s="49">
        <v>6715</v>
      </c>
      <c r="K64" s="328" t="e">
        <f>J64/G64*100</f>
        <v>#DIV/0!</v>
      </c>
      <c r="L64" s="329">
        <f t="shared" si="24"/>
        <v>37.30555555555556</v>
      </c>
      <c r="M64" s="49">
        <v>0</v>
      </c>
      <c r="N64" s="328">
        <f t="shared" si="25"/>
        <v>0</v>
      </c>
      <c r="O64" s="328">
        <f t="shared" si="26"/>
        <v>0</v>
      </c>
      <c r="P64" s="383">
        <v>18000</v>
      </c>
      <c r="Q64" s="332" t="e">
        <f>P64*100/G64</f>
        <v>#DIV/0!</v>
      </c>
      <c r="R64" s="469"/>
      <c r="S64" s="387">
        <v>11285</v>
      </c>
      <c r="T64" s="387">
        <v>11285</v>
      </c>
      <c r="U64" s="329">
        <f t="shared" si="27"/>
        <v>100</v>
      </c>
    </row>
    <row r="65" spans="1:21" ht="36" customHeight="1">
      <c r="A65" s="462" t="s">
        <v>90</v>
      </c>
      <c r="B65" s="462">
        <v>9</v>
      </c>
      <c r="C65" s="470" t="s">
        <v>257</v>
      </c>
      <c r="D65" s="462" t="s">
        <v>259</v>
      </c>
      <c r="E65" s="462" t="s">
        <v>258</v>
      </c>
      <c r="F65" s="371" t="s">
        <v>26</v>
      </c>
      <c r="G65" s="315">
        <f>SUM(G67:G71)</f>
        <v>617083.58</v>
      </c>
      <c r="H65" s="315">
        <v>3047193</v>
      </c>
      <c r="I65" s="315">
        <f>SUM(I67:I71)</f>
        <v>2264066.1</v>
      </c>
      <c r="J65" s="315">
        <f>SUM(J67:J71)</f>
        <v>1646799</v>
      </c>
      <c r="K65" s="316">
        <f>J65/G65*100</f>
        <v>266.8680634801529</v>
      </c>
      <c r="L65" s="317">
        <f t="shared" si="24"/>
        <v>54.043147250600796</v>
      </c>
      <c r="M65" s="315">
        <f>SUM(M67:M71)</f>
        <v>570484.83</v>
      </c>
      <c r="N65" s="330">
        <f t="shared" si="25"/>
        <v>92.44855129673034</v>
      </c>
      <c r="O65" s="330">
        <f t="shared" si="26"/>
        <v>25.19735753298015</v>
      </c>
      <c r="P65" s="372">
        <f>SUM(P67:P71)</f>
        <v>2090533.2</v>
      </c>
      <c r="Q65" s="319">
        <f>P65*100/G65</f>
        <v>338.77634533720703</v>
      </c>
      <c r="R65" s="472" t="s">
        <v>309</v>
      </c>
      <c r="S65" s="77">
        <f>SUM(S67:S71)</f>
        <v>498901.2</v>
      </c>
      <c r="T65" s="77">
        <f>SUM(T67:T71)</f>
        <v>281476.19999999995</v>
      </c>
      <c r="U65" s="388">
        <f t="shared" si="27"/>
        <v>56.419226893020095</v>
      </c>
    </row>
    <row r="66" spans="1:21" ht="15" customHeight="1">
      <c r="A66" s="462"/>
      <c r="B66" s="462"/>
      <c r="C66" s="471"/>
      <c r="D66" s="462"/>
      <c r="E66" s="463"/>
      <c r="F66" s="320" t="s">
        <v>29</v>
      </c>
      <c r="G66" s="321"/>
      <c r="H66" s="321"/>
      <c r="I66" s="321"/>
      <c r="J66" s="321"/>
      <c r="K66" s="322"/>
      <c r="L66" s="321"/>
      <c r="M66" s="323"/>
      <c r="N66" s="322"/>
      <c r="O66" s="323"/>
      <c r="P66" s="324"/>
      <c r="Q66" s="325"/>
      <c r="R66" s="473"/>
      <c r="S66" s="376"/>
      <c r="T66" s="389"/>
      <c r="U66" s="378"/>
    </row>
    <row r="67" spans="1:21" ht="30.75" customHeight="1">
      <c r="A67" s="462"/>
      <c r="B67" s="462"/>
      <c r="C67" s="471"/>
      <c r="D67" s="462"/>
      <c r="E67" s="462"/>
      <c r="F67" s="379" t="s">
        <v>27</v>
      </c>
      <c r="G67" s="384">
        <v>1648.91</v>
      </c>
      <c r="H67" s="48">
        <v>411235.3</v>
      </c>
      <c r="I67" s="48">
        <v>411235.3</v>
      </c>
      <c r="J67" s="48">
        <v>355274.4</v>
      </c>
      <c r="K67" s="328">
        <f>J67/G67*100</f>
        <v>21546.015246435523</v>
      </c>
      <c r="L67" s="329">
        <f aca="true" t="shared" si="28" ref="L67:L72">IF(H67=0,0,J67*100/H67)</f>
        <v>86.39199990856817</v>
      </c>
      <c r="M67" s="48">
        <v>1648.73</v>
      </c>
      <c r="N67" s="328">
        <f aca="true" t="shared" si="29" ref="N67:N72">IF(G67=0,0,M67/G67*100)</f>
        <v>99.98908369771546</v>
      </c>
      <c r="O67" s="328">
        <f aca="true" t="shared" si="30" ref="O67:O72">IF(I67=0,0,M67*100/I67)</f>
        <v>0.400921321686149</v>
      </c>
      <c r="P67" s="380">
        <v>411235.3</v>
      </c>
      <c r="Q67" s="332">
        <f>P67*100/G67</f>
        <v>24939.826915962665</v>
      </c>
      <c r="R67" s="473"/>
      <c r="S67" s="381">
        <v>17432.2</v>
      </c>
      <c r="T67" s="387">
        <v>1986.6</v>
      </c>
      <c r="U67" s="329">
        <f aca="true" t="shared" si="31" ref="U67:U72">IF(S67=0,0,T67*100/S67)</f>
        <v>11.39615194869265</v>
      </c>
    </row>
    <row r="68" spans="1:21" ht="33.75" customHeight="1">
      <c r="A68" s="462"/>
      <c r="B68" s="462"/>
      <c r="C68" s="471"/>
      <c r="D68" s="462"/>
      <c r="E68" s="462"/>
      <c r="F68" s="52" t="s">
        <v>30</v>
      </c>
      <c r="G68" s="387">
        <v>405710.59</v>
      </c>
      <c r="H68" s="398">
        <v>1851830.8</v>
      </c>
      <c r="I68" s="398">
        <v>1851830.8</v>
      </c>
      <c r="J68" s="49">
        <v>1290524.6</v>
      </c>
      <c r="K68" s="328">
        <f>J68/G68*100</f>
        <v>318.08994682638183</v>
      </c>
      <c r="L68" s="329">
        <f t="shared" si="28"/>
        <v>69.68912062592328</v>
      </c>
      <c r="M68" s="49">
        <v>395074.83</v>
      </c>
      <c r="N68" s="328">
        <f t="shared" si="29"/>
        <v>97.37848597937756</v>
      </c>
      <c r="O68" s="328">
        <f t="shared" si="30"/>
        <v>21.334283348133102</v>
      </c>
      <c r="P68" s="383">
        <v>1678297.9</v>
      </c>
      <c r="Q68" s="332">
        <f>P68*100/G68</f>
        <v>413.6687435247869</v>
      </c>
      <c r="R68" s="473"/>
      <c r="S68" s="345">
        <v>481469</v>
      </c>
      <c r="T68" s="387">
        <v>279489.6</v>
      </c>
      <c r="U68" s="329">
        <f t="shared" si="31"/>
        <v>58.04934481763103</v>
      </c>
    </row>
    <row r="69" spans="1:21" ht="156" customHeight="1">
      <c r="A69" s="462"/>
      <c r="B69" s="462"/>
      <c r="C69" s="471"/>
      <c r="D69" s="462"/>
      <c r="E69" s="462"/>
      <c r="F69" s="399" t="s">
        <v>290</v>
      </c>
      <c r="G69" s="400">
        <v>209724.08</v>
      </c>
      <c r="H69" s="392"/>
      <c r="I69" s="392"/>
      <c r="J69" s="328"/>
      <c r="K69" s="328"/>
      <c r="L69" s="329"/>
      <c r="M69" s="328">
        <v>173761.27</v>
      </c>
      <c r="N69" s="328">
        <f t="shared" si="29"/>
        <v>82.85232196512675</v>
      </c>
      <c r="O69" s="328"/>
      <c r="P69" s="396"/>
      <c r="Q69" s="401"/>
      <c r="R69" s="473"/>
      <c r="S69" s="402"/>
      <c r="T69" s="400"/>
      <c r="U69" s="329"/>
    </row>
    <row r="70" spans="1:21" ht="18.75" customHeight="1" hidden="1">
      <c r="A70" s="462"/>
      <c r="B70" s="462"/>
      <c r="C70" s="471"/>
      <c r="D70" s="462"/>
      <c r="E70" s="462"/>
      <c r="F70" s="52" t="s">
        <v>239</v>
      </c>
      <c r="G70" s="345">
        <v>0</v>
      </c>
      <c r="H70" s="398">
        <v>1000</v>
      </c>
      <c r="I70" s="398">
        <v>1000</v>
      </c>
      <c r="J70" s="49">
        <v>1000</v>
      </c>
      <c r="K70" s="328" t="e">
        <f>J70/G70*100</f>
        <v>#DIV/0!</v>
      </c>
      <c r="L70" s="329">
        <f t="shared" si="28"/>
        <v>100</v>
      </c>
      <c r="M70" s="49">
        <v>0</v>
      </c>
      <c r="N70" s="328">
        <f t="shared" si="29"/>
        <v>0</v>
      </c>
      <c r="O70" s="328">
        <f t="shared" si="30"/>
        <v>0</v>
      </c>
      <c r="P70" s="383">
        <v>1000</v>
      </c>
      <c r="Q70" s="332" t="e">
        <f>P70*100/G70</f>
        <v>#DIV/0!</v>
      </c>
      <c r="R70" s="473"/>
      <c r="S70" s="387">
        <v>0</v>
      </c>
      <c r="T70" s="387">
        <v>0</v>
      </c>
      <c r="U70" s="329">
        <f t="shared" si="31"/>
        <v>0</v>
      </c>
    </row>
    <row r="71" spans="1:21" ht="39.75" customHeight="1" hidden="1">
      <c r="A71" s="462"/>
      <c r="B71" s="462"/>
      <c r="C71" s="471"/>
      <c r="D71" s="462"/>
      <c r="E71" s="462"/>
      <c r="F71" s="52" t="s">
        <v>240</v>
      </c>
      <c r="G71" s="384">
        <v>0</v>
      </c>
      <c r="H71" s="49">
        <v>0</v>
      </c>
      <c r="I71" s="49">
        <v>0</v>
      </c>
      <c r="J71" s="49">
        <v>0</v>
      </c>
      <c r="K71" s="328">
        <v>0</v>
      </c>
      <c r="L71" s="329">
        <f t="shared" si="28"/>
        <v>0</v>
      </c>
      <c r="M71" s="49">
        <v>0</v>
      </c>
      <c r="N71" s="328">
        <f t="shared" si="29"/>
        <v>0</v>
      </c>
      <c r="O71" s="328">
        <f t="shared" si="30"/>
        <v>0</v>
      </c>
      <c r="P71" s="383">
        <v>0</v>
      </c>
      <c r="Q71" s="391">
        <v>0</v>
      </c>
      <c r="R71" s="474"/>
      <c r="S71" s="345">
        <v>0</v>
      </c>
      <c r="T71" s="387">
        <v>0</v>
      </c>
      <c r="U71" s="329">
        <f t="shared" si="31"/>
        <v>0</v>
      </c>
    </row>
    <row r="72" spans="1:21" ht="36.75" customHeight="1">
      <c r="A72" s="462" t="s">
        <v>47</v>
      </c>
      <c r="B72" s="462">
        <v>10</v>
      </c>
      <c r="C72" s="470" t="s">
        <v>260</v>
      </c>
      <c r="D72" s="462" t="s">
        <v>261</v>
      </c>
      <c r="E72" s="462" t="s">
        <v>258</v>
      </c>
      <c r="F72" s="371" t="s">
        <v>26</v>
      </c>
      <c r="G72" s="315">
        <f>SUM(G74:G78)</f>
        <v>516238.95</v>
      </c>
      <c r="H72" s="315">
        <v>115003.5</v>
      </c>
      <c r="I72" s="315">
        <f>SUM(I74:I78)</f>
        <v>115003.5</v>
      </c>
      <c r="J72" s="315">
        <f>SUM(J74:J78)</f>
        <v>87323.5</v>
      </c>
      <c r="K72" s="316">
        <f>J72/G72*100</f>
        <v>16.915325742081258</v>
      </c>
      <c r="L72" s="317">
        <f t="shared" si="28"/>
        <v>75.9311673122992</v>
      </c>
      <c r="M72" s="315">
        <f>SUM(M74:M78)</f>
        <v>449573.4</v>
      </c>
      <c r="N72" s="330">
        <f t="shared" si="29"/>
        <v>87.08629986172102</v>
      </c>
      <c r="O72" s="330">
        <f t="shared" si="30"/>
        <v>390.9214936936702</v>
      </c>
      <c r="P72" s="372">
        <f>SUM(P74:P78)</f>
        <v>114093.3</v>
      </c>
      <c r="Q72" s="319">
        <f>P72*100/G72</f>
        <v>22.100870149375595</v>
      </c>
      <c r="R72" s="469" t="s">
        <v>306</v>
      </c>
      <c r="S72" s="77">
        <f>SUM(S74:S78)</f>
        <v>28546.800000000003</v>
      </c>
      <c r="T72" s="77">
        <f>SUM(T74:T78)</f>
        <v>24514.800000000003</v>
      </c>
      <c r="U72" s="388">
        <f t="shared" si="31"/>
        <v>85.87582496111649</v>
      </c>
    </row>
    <row r="73" spans="1:21" ht="15" customHeight="1">
      <c r="A73" s="462"/>
      <c r="B73" s="462"/>
      <c r="C73" s="471"/>
      <c r="D73" s="462"/>
      <c r="E73" s="463"/>
      <c r="F73" s="320" t="s">
        <v>29</v>
      </c>
      <c r="G73" s="321"/>
      <c r="H73" s="321"/>
      <c r="I73" s="321"/>
      <c r="J73" s="321"/>
      <c r="K73" s="322"/>
      <c r="L73" s="321"/>
      <c r="M73" s="323"/>
      <c r="N73" s="322"/>
      <c r="O73" s="323"/>
      <c r="P73" s="324"/>
      <c r="Q73" s="325"/>
      <c r="R73" s="469"/>
      <c r="S73" s="376"/>
      <c r="T73" s="389"/>
      <c r="U73" s="378"/>
    </row>
    <row r="74" spans="1:21" ht="30.75" customHeight="1" hidden="1">
      <c r="A74" s="462"/>
      <c r="B74" s="462"/>
      <c r="C74" s="471"/>
      <c r="D74" s="462"/>
      <c r="E74" s="462"/>
      <c r="F74" s="379" t="s">
        <v>27</v>
      </c>
      <c r="G74" s="384">
        <v>0</v>
      </c>
      <c r="H74" s="48">
        <v>15003.5</v>
      </c>
      <c r="I74" s="48">
        <v>15003.5</v>
      </c>
      <c r="J74" s="48">
        <v>13347.1</v>
      </c>
      <c r="K74" s="328" t="e">
        <f>J74/G74*100</f>
        <v>#DIV/0!</v>
      </c>
      <c r="L74" s="329">
        <f aca="true" t="shared" si="32" ref="L74:L79">IF(H74=0,0,J74*100/H74)</f>
        <v>88.95990935448395</v>
      </c>
      <c r="M74" s="48">
        <v>0</v>
      </c>
      <c r="N74" s="328">
        <f aca="true" t="shared" si="33" ref="N74:N79">IF(G74=0,0,M74/G74*100)</f>
        <v>0</v>
      </c>
      <c r="O74" s="328">
        <f aca="true" t="shared" si="34" ref="O74:O79">IF(I74=0,0,M74*100/I74)</f>
        <v>0</v>
      </c>
      <c r="P74" s="380">
        <v>15003.5</v>
      </c>
      <c r="Q74" s="332" t="e">
        <f>P74*100/G74</f>
        <v>#DIV/0!</v>
      </c>
      <c r="R74" s="469"/>
      <c r="S74" s="381">
        <v>2702.9</v>
      </c>
      <c r="T74" s="381">
        <v>1656.4</v>
      </c>
      <c r="U74" s="329">
        <f aca="true" t="shared" si="35" ref="U74:U79">IF(S74=0,0,T74*100/S74)</f>
        <v>61.282326390173516</v>
      </c>
    </row>
    <row r="75" spans="1:21" ht="28.5" customHeight="1">
      <c r="A75" s="462"/>
      <c r="B75" s="462"/>
      <c r="C75" s="471"/>
      <c r="D75" s="462"/>
      <c r="E75" s="462"/>
      <c r="F75" s="52" t="s">
        <v>30</v>
      </c>
      <c r="G75" s="384">
        <v>73051.8</v>
      </c>
      <c r="H75" s="398">
        <v>100000</v>
      </c>
      <c r="I75" s="398">
        <v>100000</v>
      </c>
      <c r="J75" s="49">
        <v>73976.4</v>
      </c>
      <c r="K75" s="328">
        <f>J75/G75*100</f>
        <v>101.26567723177251</v>
      </c>
      <c r="L75" s="329">
        <f t="shared" si="32"/>
        <v>73.97639999999998</v>
      </c>
      <c r="M75" s="49">
        <v>62710.62</v>
      </c>
      <c r="N75" s="328">
        <f t="shared" si="33"/>
        <v>85.84404491059769</v>
      </c>
      <c r="O75" s="328">
        <f t="shared" si="34"/>
        <v>62.71062</v>
      </c>
      <c r="P75" s="383">
        <v>99089.8</v>
      </c>
      <c r="Q75" s="332">
        <f>P75*100/G75</f>
        <v>135.6432011257765</v>
      </c>
      <c r="R75" s="469"/>
      <c r="S75" s="345">
        <v>25843.9</v>
      </c>
      <c r="T75" s="345">
        <v>22858.4</v>
      </c>
      <c r="U75" s="329">
        <f>IF(S75=0,0,T75*100/S75)</f>
        <v>88.44795096715279</v>
      </c>
    </row>
    <row r="76" spans="1:21" ht="128.25" customHeight="1">
      <c r="A76" s="462"/>
      <c r="B76" s="462"/>
      <c r="C76" s="471"/>
      <c r="D76" s="462"/>
      <c r="E76" s="462"/>
      <c r="F76" s="52" t="s">
        <v>290</v>
      </c>
      <c r="G76" s="384">
        <v>443187.15</v>
      </c>
      <c r="H76" s="398"/>
      <c r="I76" s="398"/>
      <c r="J76" s="49"/>
      <c r="K76" s="328"/>
      <c r="L76" s="329"/>
      <c r="M76" s="49">
        <v>386862.78</v>
      </c>
      <c r="N76" s="328">
        <f t="shared" si="33"/>
        <v>87.29106428288816</v>
      </c>
      <c r="O76" s="328"/>
      <c r="P76" s="383"/>
      <c r="Q76" s="390"/>
      <c r="R76" s="469"/>
      <c r="S76" s="345"/>
      <c r="T76" s="345"/>
      <c r="U76" s="329"/>
    </row>
    <row r="77" spans="1:21" ht="19.5" customHeight="1" hidden="1">
      <c r="A77" s="462"/>
      <c r="B77" s="462"/>
      <c r="C77" s="471"/>
      <c r="D77" s="462"/>
      <c r="E77" s="462"/>
      <c r="F77" s="52" t="s">
        <v>239</v>
      </c>
      <c r="G77" s="384">
        <v>0</v>
      </c>
      <c r="H77" s="398">
        <v>0</v>
      </c>
      <c r="I77" s="398">
        <v>0</v>
      </c>
      <c r="J77" s="49">
        <v>0</v>
      </c>
      <c r="K77" s="328">
        <v>0</v>
      </c>
      <c r="L77" s="329">
        <f t="shared" si="32"/>
        <v>0</v>
      </c>
      <c r="M77" s="49">
        <v>0</v>
      </c>
      <c r="N77" s="328">
        <f t="shared" si="33"/>
        <v>0</v>
      </c>
      <c r="O77" s="328">
        <f t="shared" si="34"/>
        <v>0</v>
      </c>
      <c r="P77" s="383">
        <v>0</v>
      </c>
      <c r="Q77" s="391">
        <v>0</v>
      </c>
      <c r="R77" s="469"/>
      <c r="S77" s="345">
        <v>0</v>
      </c>
      <c r="T77" s="387">
        <v>0</v>
      </c>
      <c r="U77" s="329">
        <f t="shared" si="35"/>
        <v>0</v>
      </c>
    </row>
    <row r="78" spans="1:21" ht="25.5" hidden="1">
      <c r="A78" s="462"/>
      <c r="B78" s="462"/>
      <c r="C78" s="471"/>
      <c r="D78" s="462"/>
      <c r="E78" s="462"/>
      <c r="F78" s="52" t="s">
        <v>240</v>
      </c>
      <c r="G78" s="384">
        <v>0</v>
      </c>
      <c r="H78" s="49">
        <v>0</v>
      </c>
      <c r="I78" s="49">
        <v>0</v>
      </c>
      <c r="J78" s="49">
        <v>0</v>
      </c>
      <c r="K78" s="328">
        <v>0</v>
      </c>
      <c r="L78" s="329">
        <f t="shared" si="32"/>
        <v>0</v>
      </c>
      <c r="M78" s="49">
        <v>0</v>
      </c>
      <c r="N78" s="328">
        <f t="shared" si="33"/>
        <v>0</v>
      </c>
      <c r="O78" s="328">
        <f t="shared" si="34"/>
        <v>0</v>
      </c>
      <c r="P78" s="383">
        <v>0</v>
      </c>
      <c r="Q78" s="391">
        <v>0</v>
      </c>
      <c r="R78" s="469"/>
      <c r="S78" s="345">
        <v>0</v>
      </c>
      <c r="T78" s="387">
        <v>0</v>
      </c>
      <c r="U78" s="329">
        <f t="shared" si="35"/>
        <v>0</v>
      </c>
    </row>
    <row r="79" spans="1:21" ht="36" customHeight="1">
      <c r="A79" s="462" t="s">
        <v>91</v>
      </c>
      <c r="B79" s="462">
        <v>11</v>
      </c>
      <c r="C79" s="461" t="s">
        <v>262</v>
      </c>
      <c r="D79" s="462" t="s">
        <v>264</v>
      </c>
      <c r="E79" s="462" t="s">
        <v>263</v>
      </c>
      <c r="F79" s="371" t="s">
        <v>26</v>
      </c>
      <c r="G79" s="315">
        <f>SUM(G81:G85)</f>
        <v>22466.58</v>
      </c>
      <c r="H79" s="315">
        <v>27218131</v>
      </c>
      <c r="I79" s="315">
        <f>SUM(I81:I85)</f>
        <v>15276652.700000001</v>
      </c>
      <c r="J79" s="315">
        <f>SUM(J81:J85)</f>
        <v>10175990.2</v>
      </c>
      <c r="K79" s="316">
        <f>J79/G79*100</f>
        <v>45293.89965005799</v>
      </c>
      <c r="L79" s="317">
        <f t="shared" si="32"/>
        <v>37.3868073454419</v>
      </c>
      <c r="M79" s="315">
        <f>SUM(M81:M85)</f>
        <v>22448.4</v>
      </c>
      <c r="N79" s="330">
        <f t="shared" si="33"/>
        <v>99.91907980653932</v>
      </c>
      <c r="O79" s="330">
        <f t="shared" si="34"/>
        <v>0.14694580312086297</v>
      </c>
      <c r="P79" s="372">
        <f>SUM(P81:P85)</f>
        <v>15268098.3</v>
      </c>
      <c r="Q79" s="319">
        <f>P79*100/G79</f>
        <v>67959.15666736993</v>
      </c>
      <c r="R79" s="464" t="s">
        <v>297</v>
      </c>
      <c r="S79" s="373">
        <f>SUM(S81:S85)</f>
        <v>4713014.5</v>
      </c>
      <c r="T79" s="373">
        <f>SUM(T81:T85)</f>
        <v>4656554</v>
      </c>
      <c r="U79" s="388">
        <f t="shared" si="35"/>
        <v>98.80202999587631</v>
      </c>
    </row>
    <row r="80" spans="1:21" ht="15" customHeight="1">
      <c r="A80" s="462"/>
      <c r="B80" s="462"/>
      <c r="C80" s="461"/>
      <c r="D80" s="462"/>
      <c r="E80" s="463"/>
      <c r="F80" s="320" t="s">
        <v>29</v>
      </c>
      <c r="G80" s="321"/>
      <c r="H80" s="321"/>
      <c r="I80" s="321"/>
      <c r="J80" s="321"/>
      <c r="K80" s="322"/>
      <c r="L80" s="321"/>
      <c r="M80" s="323"/>
      <c r="N80" s="322"/>
      <c r="O80" s="323"/>
      <c r="P80" s="324"/>
      <c r="Q80" s="325"/>
      <c r="R80" s="464"/>
      <c r="S80" s="376"/>
      <c r="T80" s="389"/>
      <c r="U80" s="378"/>
    </row>
    <row r="81" spans="1:21" ht="30.75" customHeight="1" hidden="1">
      <c r="A81" s="462"/>
      <c r="B81" s="462"/>
      <c r="C81" s="461"/>
      <c r="D81" s="462"/>
      <c r="E81" s="462"/>
      <c r="F81" s="379" t="s">
        <v>27</v>
      </c>
      <c r="G81" s="384">
        <v>0</v>
      </c>
      <c r="H81" s="329">
        <v>173481.3</v>
      </c>
      <c r="I81" s="329">
        <v>173481.3</v>
      </c>
      <c r="J81" s="48">
        <v>172770.6</v>
      </c>
      <c r="K81" s="328" t="e">
        <f aca="true" t="shared" si="36" ref="K81:K86">J81/G81*100</f>
        <v>#DIV/0!</v>
      </c>
      <c r="L81" s="329">
        <f aca="true" t="shared" si="37" ref="L81:L86">IF(H81=0,0,J81*100/H81)</f>
        <v>99.59033048518775</v>
      </c>
      <c r="M81" s="48">
        <v>0</v>
      </c>
      <c r="N81" s="328">
        <f aca="true" t="shared" si="38" ref="N81:N86">IF(G81=0,0,M81/G81*100)</f>
        <v>0</v>
      </c>
      <c r="O81" s="328">
        <f aca="true" t="shared" si="39" ref="O81:O86">IF(I81=0,0,M81*100/I81)</f>
        <v>0</v>
      </c>
      <c r="P81" s="380">
        <v>174102.3</v>
      </c>
      <c r="Q81" s="332" t="e">
        <f aca="true" t="shared" si="40" ref="Q81:Q86">P81*100/G81</f>
        <v>#DIV/0!</v>
      </c>
      <c r="R81" s="464"/>
      <c r="S81" s="48">
        <v>593.4</v>
      </c>
      <c r="T81" s="48">
        <v>846</v>
      </c>
      <c r="U81" s="329">
        <f aca="true" t="shared" si="41" ref="U81:U86">IF(S81=0,0,T81*100/S81)</f>
        <v>142.56825075834178</v>
      </c>
    </row>
    <row r="82" spans="1:21" ht="33.75" customHeight="1">
      <c r="A82" s="462"/>
      <c r="B82" s="462"/>
      <c r="C82" s="461"/>
      <c r="D82" s="462"/>
      <c r="E82" s="462"/>
      <c r="F82" s="52" t="s">
        <v>30</v>
      </c>
      <c r="G82" s="384">
        <v>19609.72</v>
      </c>
      <c r="H82" s="329">
        <v>13669381.5</v>
      </c>
      <c r="I82" s="329">
        <v>13669381.5</v>
      </c>
      <c r="J82" s="49">
        <v>9219571.1</v>
      </c>
      <c r="K82" s="328">
        <f t="shared" si="36"/>
        <v>47015.31230430623</v>
      </c>
      <c r="L82" s="329">
        <f t="shared" si="37"/>
        <v>67.44687826585277</v>
      </c>
      <c r="M82" s="49">
        <v>19593.36</v>
      </c>
      <c r="N82" s="328">
        <f t="shared" si="38"/>
        <v>99.91657198572952</v>
      </c>
      <c r="O82" s="328">
        <f t="shared" si="39"/>
        <v>0.1433375752955611</v>
      </c>
      <c r="P82" s="383">
        <v>13660992.1</v>
      </c>
      <c r="Q82" s="332">
        <f t="shared" si="40"/>
        <v>69664.39143445189</v>
      </c>
      <c r="R82" s="464"/>
      <c r="S82" s="403">
        <v>4395411.1</v>
      </c>
      <c r="T82" s="403">
        <v>4303473.9</v>
      </c>
      <c r="U82" s="329">
        <f t="shared" si="41"/>
        <v>97.90833671963019</v>
      </c>
    </row>
    <row r="83" spans="1:21" ht="25.5" customHeight="1">
      <c r="A83" s="462"/>
      <c r="B83" s="462"/>
      <c r="C83" s="461"/>
      <c r="D83" s="462"/>
      <c r="E83" s="462"/>
      <c r="F83" s="52" t="s">
        <v>290</v>
      </c>
      <c r="G83" s="384">
        <v>2813.66</v>
      </c>
      <c r="H83" s="329"/>
      <c r="I83" s="329"/>
      <c r="J83" s="49"/>
      <c r="K83" s="328"/>
      <c r="L83" s="329"/>
      <c r="M83" s="49">
        <v>2811.84</v>
      </c>
      <c r="N83" s="328">
        <f t="shared" si="38"/>
        <v>99.93531556762368</v>
      </c>
      <c r="O83" s="328"/>
      <c r="P83" s="383"/>
      <c r="Q83" s="332"/>
      <c r="R83" s="464"/>
      <c r="S83" s="403"/>
      <c r="T83" s="403"/>
      <c r="U83" s="329"/>
    </row>
    <row r="84" spans="1:21" ht="42" customHeight="1">
      <c r="A84" s="462"/>
      <c r="B84" s="462"/>
      <c r="C84" s="461"/>
      <c r="D84" s="462"/>
      <c r="E84" s="462"/>
      <c r="F84" s="52" t="s">
        <v>239</v>
      </c>
      <c r="G84" s="392">
        <v>43.2</v>
      </c>
      <c r="H84" s="328">
        <v>925948.6</v>
      </c>
      <c r="I84" s="328">
        <v>925948.6</v>
      </c>
      <c r="J84" s="49">
        <v>468606.2</v>
      </c>
      <c r="K84" s="328">
        <f t="shared" si="36"/>
        <v>1084736.5740740742</v>
      </c>
      <c r="L84" s="329">
        <f t="shared" si="37"/>
        <v>50.60823030565628</v>
      </c>
      <c r="M84" s="49">
        <v>43.2</v>
      </c>
      <c r="N84" s="328">
        <f t="shared" si="38"/>
        <v>100</v>
      </c>
      <c r="O84" s="328">
        <f t="shared" si="39"/>
        <v>0.004665485751584915</v>
      </c>
      <c r="P84" s="383">
        <v>925948.6</v>
      </c>
      <c r="Q84" s="332">
        <f t="shared" si="40"/>
        <v>2143399.537037037</v>
      </c>
      <c r="R84" s="464"/>
      <c r="S84" s="403">
        <v>136882.9</v>
      </c>
      <c r="T84" s="403">
        <v>135774.3</v>
      </c>
      <c r="U84" s="329">
        <f t="shared" si="41"/>
        <v>99.19011067123796</v>
      </c>
    </row>
    <row r="85" spans="1:21" ht="25.5" hidden="1">
      <c r="A85" s="462"/>
      <c r="B85" s="462"/>
      <c r="C85" s="461"/>
      <c r="D85" s="462"/>
      <c r="E85" s="462"/>
      <c r="F85" s="52" t="s">
        <v>240</v>
      </c>
      <c r="G85" s="384">
        <v>0</v>
      </c>
      <c r="H85" s="328">
        <v>507841.3</v>
      </c>
      <c r="I85" s="328">
        <v>507841.3</v>
      </c>
      <c r="J85" s="49">
        <v>315042.3</v>
      </c>
      <c r="K85" s="328" t="e">
        <f t="shared" si="36"/>
        <v>#DIV/0!</v>
      </c>
      <c r="L85" s="329">
        <f t="shared" si="37"/>
        <v>62.035580800537495</v>
      </c>
      <c r="M85" s="49">
        <v>0</v>
      </c>
      <c r="N85" s="328">
        <f t="shared" si="38"/>
        <v>0</v>
      </c>
      <c r="O85" s="328">
        <f t="shared" si="39"/>
        <v>0</v>
      </c>
      <c r="P85" s="383">
        <v>507055.3</v>
      </c>
      <c r="Q85" s="332" t="e">
        <f t="shared" si="40"/>
        <v>#DIV/0!</v>
      </c>
      <c r="R85" s="464"/>
      <c r="S85" s="403">
        <v>180127.1</v>
      </c>
      <c r="T85" s="403">
        <v>216459.8</v>
      </c>
      <c r="U85" s="329">
        <f t="shared" si="41"/>
        <v>120.17059065515406</v>
      </c>
    </row>
    <row r="86" spans="1:21" ht="25.5" customHeight="1">
      <c r="A86" s="462" t="s">
        <v>4</v>
      </c>
      <c r="B86" s="462">
        <v>12</v>
      </c>
      <c r="C86" s="461" t="s">
        <v>298</v>
      </c>
      <c r="D86" s="462" t="s">
        <v>266</v>
      </c>
      <c r="E86" s="462" t="s">
        <v>265</v>
      </c>
      <c r="F86" s="371" t="s">
        <v>26</v>
      </c>
      <c r="G86" s="315">
        <f>SUM(G88:G92)</f>
        <v>12960.37</v>
      </c>
      <c r="H86" s="315">
        <v>11332754.1</v>
      </c>
      <c r="I86" s="315">
        <f>SUM(I88:I92)</f>
        <v>3696126.8</v>
      </c>
      <c r="J86" s="315">
        <f>SUM(J88:J92)</f>
        <v>2315419.3</v>
      </c>
      <c r="K86" s="316">
        <f t="shared" si="36"/>
        <v>17865.37961493383</v>
      </c>
      <c r="L86" s="317">
        <f t="shared" si="37"/>
        <v>20.4312145094545</v>
      </c>
      <c r="M86" s="315">
        <f>SUM(M88:M92)</f>
        <v>12715.79</v>
      </c>
      <c r="N86" s="330">
        <f t="shared" si="38"/>
        <v>98.1128625185855</v>
      </c>
      <c r="O86" s="330">
        <f t="shared" si="39"/>
        <v>0.34403013446400166</v>
      </c>
      <c r="P86" s="372">
        <f>SUM(P88:P92)</f>
        <v>4062022.0999999996</v>
      </c>
      <c r="Q86" s="319">
        <f t="shared" si="40"/>
        <v>31341.86832629006</v>
      </c>
      <c r="R86" s="464" t="s">
        <v>305</v>
      </c>
      <c r="S86" s="373">
        <f>SUM(S88:S92)</f>
        <v>1332059.1</v>
      </c>
      <c r="T86" s="373">
        <f>SUM(T88:T92)</f>
        <v>1319823.8</v>
      </c>
      <c r="U86" s="388">
        <f t="shared" si="41"/>
        <v>99.08147468832276</v>
      </c>
    </row>
    <row r="87" spans="1:21" ht="18.75" customHeight="1">
      <c r="A87" s="462"/>
      <c r="B87" s="462"/>
      <c r="C87" s="461"/>
      <c r="D87" s="462"/>
      <c r="E87" s="463"/>
      <c r="F87" s="320" t="s">
        <v>29</v>
      </c>
      <c r="G87" s="321"/>
      <c r="H87" s="321"/>
      <c r="I87" s="321"/>
      <c r="J87" s="321"/>
      <c r="K87" s="378"/>
      <c r="L87" s="404"/>
      <c r="M87" s="323"/>
      <c r="N87" s="378"/>
      <c r="O87" s="323"/>
      <c r="P87" s="324"/>
      <c r="Q87" s="405"/>
      <c r="R87" s="464"/>
      <c r="S87" s="376"/>
      <c r="T87" s="389"/>
      <c r="U87" s="378"/>
    </row>
    <row r="88" spans="1:21" ht="29.25" customHeight="1" hidden="1">
      <c r="A88" s="462"/>
      <c r="B88" s="462"/>
      <c r="C88" s="461"/>
      <c r="D88" s="462"/>
      <c r="E88" s="462"/>
      <c r="F88" s="379" t="s">
        <v>27</v>
      </c>
      <c r="G88" s="384">
        <v>0</v>
      </c>
      <c r="H88" s="329">
        <v>74255</v>
      </c>
      <c r="I88" s="329">
        <v>74255</v>
      </c>
      <c r="J88" s="48">
        <v>65755</v>
      </c>
      <c r="K88" s="329" t="e">
        <f>IF(#REF!=0,0,O88*100/#REF!)</f>
        <v>#REF!</v>
      </c>
      <c r="L88" s="329">
        <f aca="true" t="shared" si="42" ref="L88:L93">IF(H88=0,0,J88*100/H88)</f>
        <v>88.55295939667363</v>
      </c>
      <c r="M88" s="48">
        <v>0</v>
      </c>
      <c r="N88" s="328">
        <f aca="true" t="shared" si="43" ref="N88:N93">IF(G88=0,0,M88/G88*100)</f>
        <v>0</v>
      </c>
      <c r="O88" s="328">
        <f aca="true" t="shared" si="44" ref="O88:O93">IF(I88=0,0,M88*100/I88)</f>
        <v>0</v>
      </c>
      <c r="P88" s="380">
        <v>74254.9</v>
      </c>
      <c r="Q88" s="332">
        <v>0</v>
      </c>
      <c r="R88" s="464"/>
      <c r="S88" s="381">
        <v>0</v>
      </c>
      <c r="T88" s="381">
        <v>0</v>
      </c>
      <c r="U88" s="329">
        <f aca="true" t="shared" si="45" ref="U88:U93">IF(S88=0,0,T88*100/S88)</f>
        <v>0</v>
      </c>
    </row>
    <row r="89" spans="1:21" ht="33.75" customHeight="1">
      <c r="A89" s="462"/>
      <c r="B89" s="462"/>
      <c r="C89" s="461"/>
      <c r="D89" s="462"/>
      <c r="E89" s="462"/>
      <c r="F89" s="52" t="s">
        <v>30</v>
      </c>
      <c r="G89" s="384">
        <v>99.4</v>
      </c>
      <c r="H89" s="49">
        <v>2993151.6</v>
      </c>
      <c r="I89" s="49">
        <v>2993151.6</v>
      </c>
      <c r="J89" s="49">
        <v>2009240.9</v>
      </c>
      <c r="K89" s="328">
        <f>J89/G89*100</f>
        <v>2021369.1146881287</v>
      </c>
      <c r="L89" s="329">
        <f t="shared" si="42"/>
        <v>67.12793631969727</v>
      </c>
      <c r="M89" s="49">
        <v>99.4</v>
      </c>
      <c r="N89" s="328">
        <f t="shared" si="43"/>
        <v>100</v>
      </c>
      <c r="O89" s="328">
        <f t="shared" si="44"/>
        <v>0.0033209143165351196</v>
      </c>
      <c r="P89" s="383">
        <v>2927922.5</v>
      </c>
      <c r="Q89" s="332">
        <f>P89*100/G89</f>
        <v>2945596.076458752</v>
      </c>
      <c r="R89" s="464"/>
      <c r="S89" s="406">
        <v>979227.2</v>
      </c>
      <c r="T89" s="407">
        <v>976903.6</v>
      </c>
      <c r="U89" s="329">
        <f t="shared" si="45"/>
        <v>99.76271083973158</v>
      </c>
    </row>
    <row r="90" spans="1:21" ht="19.5" customHeight="1">
      <c r="A90" s="462"/>
      <c r="B90" s="462"/>
      <c r="C90" s="461"/>
      <c r="D90" s="462"/>
      <c r="E90" s="462"/>
      <c r="F90" s="52" t="s">
        <v>290</v>
      </c>
      <c r="G90" s="384">
        <v>12847.87</v>
      </c>
      <c r="H90" s="49"/>
      <c r="I90" s="49"/>
      <c r="J90" s="49"/>
      <c r="K90" s="328"/>
      <c r="L90" s="329"/>
      <c r="M90" s="49">
        <v>12603.29</v>
      </c>
      <c r="N90" s="328">
        <f t="shared" si="43"/>
        <v>98.09633814787976</v>
      </c>
      <c r="O90" s="328"/>
      <c r="P90" s="383"/>
      <c r="Q90" s="332"/>
      <c r="R90" s="464"/>
      <c r="S90" s="406"/>
      <c r="T90" s="407"/>
      <c r="U90" s="329"/>
    </row>
    <row r="91" spans="1:21" ht="93" customHeight="1">
      <c r="A91" s="462"/>
      <c r="B91" s="462"/>
      <c r="C91" s="461"/>
      <c r="D91" s="462"/>
      <c r="E91" s="462"/>
      <c r="F91" s="408" t="s">
        <v>239</v>
      </c>
      <c r="G91" s="398">
        <v>13.1</v>
      </c>
      <c r="H91" s="49">
        <v>1064487.5</v>
      </c>
      <c r="I91" s="49">
        <v>628720.2</v>
      </c>
      <c r="J91" s="49">
        <v>240423.4</v>
      </c>
      <c r="K91" s="328">
        <f>J91/G91*100</f>
        <v>1835293.1297709926</v>
      </c>
      <c r="L91" s="329">
        <f t="shared" si="42"/>
        <v>22.58583590695053</v>
      </c>
      <c r="M91" s="49">
        <v>13.1</v>
      </c>
      <c r="N91" s="328">
        <f t="shared" si="43"/>
        <v>100</v>
      </c>
      <c r="O91" s="328">
        <f t="shared" si="44"/>
        <v>0.0020835977593848583</v>
      </c>
      <c r="P91" s="383">
        <v>1059844.7</v>
      </c>
      <c r="Q91" s="332">
        <f>P91*100/G91</f>
        <v>8090417.557251909</v>
      </c>
      <c r="R91" s="464"/>
      <c r="S91" s="345">
        <v>352831.9</v>
      </c>
      <c r="T91" s="387">
        <v>342920.2</v>
      </c>
      <c r="U91" s="329">
        <f t="shared" si="45"/>
        <v>97.19081522957532</v>
      </c>
    </row>
    <row r="92" spans="1:21" ht="32.25" customHeight="1" hidden="1">
      <c r="A92" s="462"/>
      <c r="B92" s="462"/>
      <c r="C92" s="461"/>
      <c r="D92" s="462"/>
      <c r="E92" s="462"/>
      <c r="F92" s="52" t="s">
        <v>240</v>
      </c>
      <c r="G92" s="384">
        <v>0</v>
      </c>
      <c r="H92" s="328">
        <v>0</v>
      </c>
      <c r="I92" s="328">
        <v>0</v>
      </c>
      <c r="J92" s="49">
        <v>0</v>
      </c>
      <c r="K92" s="328">
        <v>0</v>
      </c>
      <c r="L92" s="329">
        <f t="shared" si="42"/>
        <v>0</v>
      </c>
      <c r="M92" s="49">
        <v>0</v>
      </c>
      <c r="N92" s="328">
        <f t="shared" si="43"/>
        <v>0</v>
      </c>
      <c r="O92" s="328">
        <f t="shared" si="44"/>
        <v>0</v>
      </c>
      <c r="P92" s="383">
        <v>0</v>
      </c>
      <c r="Q92" s="391">
        <v>0</v>
      </c>
      <c r="R92" s="464"/>
      <c r="S92" s="387">
        <v>0</v>
      </c>
      <c r="T92" s="387">
        <v>0</v>
      </c>
      <c r="U92" s="329">
        <f t="shared" si="45"/>
        <v>0</v>
      </c>
    </row>
    <row r="93" spans="1:21" ht="27" customHeight="1">
      <c r="A93" s="462" t="s">
        <v>92</v>
      </c>
      <c r="B93" s="462">
        <v>13</v>
      </c>
      <c r="C93" s="461" t="s">
        <v>267</v>
      </c>
      <c r="D93" s="462" t="s">
        <v>270</v>
      </c>
      <c r="E93" s="462" t="s">
        <v>268</v>
      </c>
      <c r="F93" s="409" t="s">
        <v>26</v>
      </c>
      <c r="G93" s="77">
        <f>SUM(G95:G99)</f>
        <v>6998.91</v>
      </c>
      <c r="H93" s="410">
        <v>847507.5</v>
      </c>
      <c r="I93" s="77">
        <f>SUM(I95:I99)</f>
        <v>847701.4</v>
      </c>
      <c r="J93" s="77">
        <f>SUM(J95:J99)</f>
        <v>650139.4</v>
      </c>
      <c r="K93" s="316">
        <f>J93/G93*100</f>
        <v>9289.152167980443</v>
      </c>
      <c r="L93" s="316">
        <f t="shared" si="42"/>
        <v>76.71193470264275</v>
      </c>
      <c r="M93" s="77">
        <f>SUM(M95:M99)</f>
        <v>3531.7</v>
      </c>
      <c r="N93" s="330">
        <f t="shared" si="43"/>
        <v>50.460714596987245</v>
      </c>
      <c r="O93" s="330">
        <f t="shared" si="44"/>
        <v>0.41662075820566064</v>
      </c>
      <c r="P93" s="332">
        <f>SUM(P95:P99)</f>
        <v>834054.4</v>
      </c>
      <c r="Q93" s="319">
        <f>P93*100/G93</f>
        <v>11916.918491593691</v>
      </c>
      <c r="R93" s="464" t="s">
        <v>299</v>
      </c>
      <c r="S93" s="373">
        <f>SUM(S95:S99)</f>
        <v>100728.2</v>
      </c>
      <c r="T93" s="373">
        <f>SUM(T95:T99)</f>
        <v>151609</v>
      </c>
      <c r="U93" s="388">
        <f t="shared" si="45"/>
        <v>150.5129645918422</v>
      </c>
    </row>
    <row r="94" spans="1:21" ht="15" customHeight="1">
      <c r="A94" s="462"/>
      <c r="B94" s="462"/>
      <c r="C94" s="461"/>
      <c r="D94" s="462"/>
      <c r="E94" s="462"/>
      <c r="F94" s="411" t="s">
        <v>29</v>
      </c>
      <c r="G94" s="77"/>
      <c r="H94" s="77"/>
      <c r="I94" s="77"/>
      <c r="J94" s="412"/>
      <c r="K94" s="316"/>
      <c r="L94" s="412"/>
      <c r="M94" s="77"/>
      <c r="N94" s="316"/>
      <c r="O94" s="77"/>
      <c r="P94" s="413"/>
      <c r="Q94" s="405"/>
      <c r="R94" s="464"/>
      <c r="S94" s="376"/>
      <c r="T94" s="389"/>
      <c r="U94" s="329"/>
    </row>
    <row r="95" spans="1:21" ht="30.75" customHeight="1" hidden="1">
      <c r="A95" s="462"/>
      <c r="B95" s="462"/>
      <c r="C95" s="461"/>
      <c r="D95" s="462"/>
      <c r="E95" s="462"/>
      <c r="F95" s="52" t="s">
        <v>27</v>
      </c>
      <c r="G95" s="345">
        <v>0</v>
      </c>
      <c r="H95" s="328">
        <v>147001.1</v>
      </c>
      <c r="I95" s="328">
        <v>146356.9</v>
      </c>
      <c r="J95" s="49">
        <v>145545.1</v>
      </c>
      <c r="K95" s="328" t="e">
        <f>J95/G95*100</f>
        <v>#DIV/0!</v>
      </c>
      <c r="L95" s="328">
        <f aca="true" t="shared" si="46" ref="L95:L100">IF(H95=0,0,J95*100/H95)</f>
        <v>99.00953122119493</v>
      </c>
      <c r="M95" s="49">
        <v>0</v>
      </c>
      <c r="N95" s="328">
        <f aca="true" t="shared" si="47" ref="N95:N100">IF(G95=0,0,M95/G95*100)</f>
        <v>0</v>
      </c>
      <c r="O95" s="328">
        <f aca="true" t="shared" si="48" ref="O95:O100">IF(I95=0,0,M95*100/I95)</f>
        <v>0</v>
      </c>
      <c r="P95" s="396">
        <v>146135.9</v>
      </c>
      <c r="Q95" s="332" t="e">
        <f>P95*100/G95</f>
        <v>#DIV/0!</v>
      </c>
      <c r="R95" s="464"/>
      <c r="S95" s="381">
        <v>807</v>
      </c>
      <c r="T95" s="381">
        <v>807</v>
      </c>
      <c r="U95" s="329">
        <f aca="true" t="shared" si="49" ref="U95:U100">IF(S95=0,0,T95*100/S95)</f>
        <v>100</v>
      </c>
    </row>
    <row r="96" spans="1:21" ht="33.75" customHeight="1" hidden="1">
      <c r="A96" s="462"/>
      <c r="B96" s="462"/>
      <c r="C96" s="461"/>
      <c r="D96" s="462"/>
      <c r="E96" s="462"/>
      <c r="F96" s="52" t="s">
        <v>30</v>
      </c>
      <c r="G96" s="345">
        <v>0</v>
      </c>
      <c r="H96" s="328">
        <v>679244.9</v>
      </c>
      <c r="I96" s="328">
        <v>680083</v>
      </c>
      <c r="J96" s="49">
        <v>484995.5</v>
      </c>
      <c r="K96" s="328" t="e">
        <f>J96/G96*100</f>
        <v>#DIV/0!</v>
      </c>
      <c r="L96" s="328">
        <f t="shared" si="46"/>
        <v>71.40215554065993</v>
      </c>
      <c r="M96" s="49">
        <v>0</v>
      </c>
      <c r="N96" s="328">
        <f t="shared" si="47"/>
        <v>0</v>
      </c>
      <c r="O96" s="328">
        <f t="shared" si="48"/>
        <v>0</v>
      </c>
      <c r="P96" s="396">
        <v>667012.9</v>
      </c>
      <c r="Q96" s="332" t="e">
        <f>P96*100/G96</f>
        <v>#DIV/0!</v>
      </c>
      <c r="R96" s="464"/>
      <c r="S96" s="384">
        <v>98258.5</v>
      </c>
      <c r="T96" s="381">
        <v>150308.2</v>
      </c>
      <c r="U96" s="329">
        <f t="shared" si="49"/>
        <v>152.9722110555321</v>
      </c>
    </row>
    <row r="97" spans="1:21" ht="125.25" customHeight="1">
      <c r="A97" s="462"/>
      <c r="B97" s="462"/>
      <c r="C97" s="461"/>
      <c r="D97" s="462"/>
      <c r="E97" s="462"/>
      <c r="F97" s="52" t="s">
        <v>290</v>
      </c>
      <c r="G97" s="345">
        <v>6998.91</v>
      </c>
      <c r="H97" s="328"/>
      <c r="I97" s="328"/>
      <c r="J97" s="49"/>
      <c r="K97" s="328"/>
      <c r="L97" s="328"/>
      <c r="M97" s="49">
        <v>3531.7</v>
      </c>
      <c r="N97" s="328">
        <f t="shared" si="47"/>
        <v>50.460714596987245</v>
      </c>
      <c r="O97" s="328"/>
      <c r="P97" s="396"/>
      <c r="Q97" s="332"/>
      <c r="R97" s="464"/>
      <c r="S97" s="384"/>
      <c r="T97" s="381"/>
      <c r="U97" s="329"/>
    </row>
    <row r="98" spans="1:21" ht="46.5" customHeight="1" hidden="1">
      <c r="A98" s="462"/>
      <c r="B98" s="462"/>
      <c r="C98" s="461"/>
      <c r="D98" s="462"/>
      <c r="E98" s="462"/>
      <c r="F98" s="52" t="s">
        <v>239</v>
      </c>
      <c r="G98" s="328">
        <v>0</v>
      </c>
      <c r="H98" s="328">
        <v>21261.5</v>
      </c>
      <c r="I98" s="328">
        <v>21261.5</v>
      </c>
      <c r="J98" s="49">
        <v>19598.8</v>
      </c>
      <c r="K98" s="328" t="e">
        <f>J98/G98*100</f>
        <v>#DIV/0!</v>
      </c>
      <c r="L98" s="328">
        <f t="shared" si="46"/>
        <v>92.1797615408132</v>
      </c>
      <c r="M98" s="49">
        <v>0</v>
      </c>
      <c r="N98" s="328">
        <f t="shared" si="47"/>
        <v>0</v>
      </c>
      <c r="O98" s="328">
        <f t="shared" si="48"/>
        <v>0</v>
      </c>
      <c r="P98" s="396">
        <v>20905.6</v>
      </c>
      <c r="Q98" s="332" t="e">
        <f>P98*100/G98</f>
        <v>#DIV/0!</v>
      </c>
      <c r="R98" s="464"/>
      <c r="S98" s="384">
        <v>1662.7</v>
      </c>
      <c r="T98" s="381">
        <v>493.8</v>
      </c>
      <c r="U98" s="329">
        <f t="shared" si="49"/>
        <v>29.698682865219222</v>
      </c>
    </row>
    <row r="99" spans="1:21" ht="30.75" customHeight="1" hidden="1">
      <c r="A99" s="462"/>
      <c r="B99" s="462"/>
      <c r="C99" s="461"/>
      <c r="D99" s="462"/>
      <c r="E99" s="462"/>
      <c r="F99" s="52" t="s">
        <v>240</v>
      </c>
      <c r="G99" s="345">
        <v>0</v>
      </c>
      <c r="H99" s="328">
        <v>0</v>
      </c>
      <c r="I99" s="328">
        <v>0</v>
      </c>
      <c r="J99" s="49">
        <v>0</v>
      </c>
      <c r="K99" s="328">
        <v>0</v>
      </c>
      <c r="L99" s="328">
        <f t="shared" si="46"/>
        <v>0</v>
      </c>
      <c r="M99" s="49">
        <v>0</v>
      </c>
      <c r="N99" s="328">
        <f t="shared" si="47"/>
        <v>0</v>
      </c>
      <c r="O99" s="328">
        <f t="shared" si="48"/>
        <v>0</v>
      </c>
      <c r="P99" s="383">
        <v>0</v>
      </c>
      <c r="Q99" s="414">
        <v>0</v>
      </c>
      <c r="R99" s="464"/>
      <c r="S99" s="387">
        <v>0</v>
      </c>
      <c r="T99" s="387">
        <v>0</v>
      </c>
      <c r="U99" s="329">
        <f t="shared" si="49"/>
        <v>0</v>
      </c>
    </row>
    <row r="100" spans="1:21" ht="25.5">
      <c r="A100" s="462" t="s">
        <v>92</v>
      </c>
      <c r="B100" s="462">
        <v>14</v>
      </c>
      <c r="C100" s="461" t="s">
        <v>269</v>
      </c>
      <c r="D100" s="462" t="s">
        <v>273</v>
      </c>
      <c r="E100" s="462" t="s">
        <v>255</v>
      </c>
      <c r="F100" s="371" t="s">
        <v>26</v>
      </c>
      <c r="G100" s="315">
        <f>SUM(G102:G105)</f>
        <v>12332.1</v>
      </c>
      <c r="H100" s="315">
        <v>2929468.3</v>
      </c>
      <c r="I100" s="315">
        <v>2929468.3</v>
      </c>
      <c r="J100" s="315">
        <f>SUM(J102:J105)</f>
        <v>2278579.885</v>
      </c>
      <c r="K100" s="316">
        <f>J100/G100*100</f>
        <v>18476.819722512788</v>
      </c>
      <c r="L100" s="317">
        <f t="shared" si="46"/>
        <v>77.78134636240985</v>
      </c>
      <c r="M100" s="315">
        <f>SUM(M102:M105)</f>
        <v>8485.779999999999</v>
      </c>
      <c r="N100" s="330">
        <f t="shared" si="47"/>
        <v>68.8105026718888</v>
      </c>
      <c r="O100" s="330">
        <f t="shared" si="48"/>
        <v>0.28966963049233196</v>
      </c>
      <c r="P100" s="372">
        <f>SUM(P102:P105)</f>
        <v>2769238.2</v>
      </c>
      <c r="Q100" s="319">
        <f>P100*100/G100</f>
        <v>22455.528255528254</v>
      </c>
      <c r="R100" s="464" t="s">
        <v>300</v>
      </c>
      <c r="S100" s="373">
        <f>SUM(S102:S105)</f>
        <v>186731.40000000002</v>
      </c>
      <c r="T100" s="373">
        <f>SUM(T102:T105)</f>
        <v>186731.40000000002</v>
      </c>
      <c r="U100" s="388">
        <f t="shared" si="49"/>
        <v>100.00000000000001</v>
      </c>
    </row>
    <row r="101" spans="1:21" ht="15" customHeight="1">
      <c r="A101" s="462"/>
      <c r="B101" s="462"/>
      <c r="C101" s="461"/>
      <c r="D101" s="462"/>
      <c r="E101" s="463"/>
      <c r="F101" s="320" t="s">
        <v>29</v>
      </c>
      <c r="G101" s="321"/>
      <c r="H101" s="321"/>
      <c r="I101" s="321"/>
      <c r="J101" s="321"/>
      <c r="K101" s="322"/>
      <c r="L101" s="321"/>
      <c r="M101" s="323"/>
      <c r="N101" s="322"/>
      <c r="O101" s="323"/>
      <c r="P101" s="324"/>
      <c r="Q101" s="325"/>
      <c r="R101" s="464"/>
      <c r="S101" s="376"/>
      <c r="T101" s="389"/>
      <c r="U101" s="378"/>
    </row>
    <row r="102" spans="1:21" ht="25.5">
      <c r="A102" s="462"/>
      <c r="B102" s="462"/>
      <c r="C102" s="461"/>
      <c r="D102" s="462"/>
      <c r="E102" s="462"/>
      <c r="F102" s="379" t="s">
        <v>27</v>
      </c>
      <c r="G102" s="384">
        <v>1054.8</v>
      </c>
      <c r="H102" s="329">
        <v>0</v>
      </c>
      <c r="I102" s="329">
        <v>0</v>
      </c>
      <c r="J102" s="48">
        <v>0</v>
      </c>
      <c r="K102" s="328">
        <v>0</v>
      </c>
      <c r="L102" s="329">
        <f>IF(H102=0,0,J102*100/H102)</f>
        <v>0</v>
      </c>
      <c r="M102" s="48">
        <v>1054.8</v>
      </c>
      <c r="N102" s="328">
        <f>IF(G102=0,0,M102/G102*100)</f>
        <v>100</v>
      </c>
      <c r="O102" s="328">
        <f>IF(I102=0,0,M102*100/I102)</f>
        <v>0</v>
      </c>
      <c r="P102" s="380">
        <v>0</v>
      </c>
      <c r="Q102" s="391">
        <v>0</v>
      </c>
      <c r="R102" s="464"/>
      <c r="S102" s="381">
        <v>0</v>
      </c>
      <c r="T102" s="381">
        <v>0</v>
      </c>
      <c r="U102" s="329">
        <f>IF(S102=0,0,T102*100/S102)</f>
        <v>0</v>
      </c>
    </row>
    <row r="103" spans="1:21" ht="25.5">
      <c r="A103" s="462"/>
      <c r="B103" s="462"/>
      <c r="C103" s="461"/>
      <c r="D103" s="462"/>
      <c r="E103" s="462"/>
      <c r="F103" s="52" t="s">
        <v>3</v>
      </c>
      <c r="G103" s="384">
        <v>4869.8</v>
      </c>
      <c r="H103" s="384">
        <v>2638921.9</v>
      </c>
      <c r="I103" s="384">
        <v>2743438.5</v>
      </c>
      <c r="J103" s="49">
        <v>2122305</v>
      </c>
      <c r="K103" s="328">
        <f>J103/G103*100</f>
        <v>43580.94788286993</v>
      </c>
      <c r="L103" s="329">
        <f>IF(H103=0,0,J103*100/H103)</f>
        <v>80.4231834219876</v>
      </c>
      <c r="M103" s="49">
        <v>2214.53</v>
      </c>
      <c r="N103" s="328">
        <f>IF(G103=0,0,M103/G103*100)</f>
        <v>45.47476282393528</v>
      </c>
      <c r="O103" s="328">
        <f>IF(I103=0,0,M103*100/I103)</f>
        <v>0.08072096385612436</v>
      </c>
      <c r="P103" s="383">
        <v>2625007.2</v>
      </c>
      <c r="Q103" s="332">
        <f>P103*100/G103</f>
        <v>53903.79892398045</v>
      </c>
      <c r="R103" s="464"/>
      <c r="S103" s="345">
        <v>94850.6</v>
      </c>
      <c r="T103" s="387">
        <v>94850.6</v>
      </c>
      <c r="U103" s="329">
        <f>IF(S103=0,0,T103*100/S103)</f>
        <v>100</v>
      </c>
    </row>
    <row r="104" spans="1:21" ht="32.25" customHeight="1">
      <c r="A104" s="462"/>
      <c r="B104" s="462"/>
      <c r="C104" s="461"/>
      <c r="D104" s="462"/>
      <c r="E104" s="462"/>
      <c r="F104" s="52" t="s">
        <v>288</v>
      </c>
      <c r="G104" s="345">
        <v>6407.5</v>
      </c>
      <c r="H104" s="345">
        <v>5723.99</v>
      </c>
      <c r="I104" s="345">
        <v>5723.99</v>
      </c>
      <c r="J104" s="49">
        <v>3469.085</v>
      </c>
      <c r="K104" s="328">
        <f>J104/G104*100</f>
        <v>54.141006632852125</v>
      </c>
      <c r="L104" s="329">
        <f>IF(H104=0,0,J104*100/H104)</f>
        <v>60.60606325308046</v>
      </c>
      <c r="M104" s="49">
        <v>5216.45</v>
      </c>
      <c r="N104" s="328">
        <f>IF(G104=0,0,M104/G104*100)</f>
        <v>81.41162699960984</v>
      </c>
      <c r="O104" s="328">
        <f>IF(I104=0,0,M104*100/I104)</f>
        <v>91.13310819900104</v>
      </c>
      <c r="P104" s="383">
        <v>5701.7</v>
      </c>
      <c r="Q104" s="332">
        <f>P104*100/G104</f>
        <v>88.98478345688646</v>
      </c>
      <c r="R104" s="464"/>
      <c r="S104" s="345">
        <v>2176.1</v>
      </c>
      <c r="T104" s="387">
        <v>2176.1</v>
      </c>
      <c r="U104" s="329">
        <v>100</v>
      </c>
    </row>
    <row r="105" spans="1:21" ht="58.5" customHeight="1" hidden="1">
      <c r="A105" s="462"/>
      <c r="B105" s="462"/>
      <c r="C105" s="461"/>
      <c r="D105" s="462"/>
      <c r="E105" s="462"/>
      <c r="F105" s="52" t="s">
        <v>240</v>
      </c>
      <c r="G105" s="384">
        <v>0</v>
      </c>
      <c r="H105" s="328">
        <v>152805.8</v>
      </c>
      <c r="I105" s="328">
        <v>152805.8</v>
      </c>
      <c r="J105" s="49">
        <v>152805.8</v>
      </c>
      <c r="K105" s="328" t="e">
        <f>J105/G105*100</f>
        <v>#DIV/0!</v>
      </c>
      <c r="L105" s="329">
        <f>IF(H105=0,0,J105*100/H105)</f>
        <v>100</v>
      </c>
      <c r="M105" s="49">
        <v>0</v>
      </c>
      <c r="N105" s="328">
        <f>IF(G105=0,0,M105/G105*100)</f>
        <v>0</v>
      </c>
      <c r="O105" s="328">
        <f>IF(I105=0,0,M105*100/I105)</f>
        <v>0</v>
      </c>
      <c r="P105" s="383">
        <v>138529.3</v>
      </c>
      <c r="Q105" s="332" t="e">
        <f>P105*100/G105</f>
        <v>#DIV/0!</v>
      </c>
      <c r="R105" s="464"/>
      <c r="S105" s="387">
        <v>89704.7</v>
      </c>
      <c r="T105" s="415">
        <v>89704.7</v>
      </c>
      <c r="U105" s="329">
        <v>100</v>
      </c>
    </row>
    <row r="106" spans="1:21" ht="25.5">
      <c r="A106" s="462" t="s">
        <v>92</v>
      </c>
      <c r="B106" s="462">
        <v>15</v>
      </c>
      <c r="C106" s="461" t="s">
        <v>271</v>
      </c>
      <c r="D106" s="465" t="s">
        <v>276</v>
      </c>
      <c r="E106" s="463" t="s">
        <v>272</v>
      </c>
      <c r="F106" s="371" t="s">
        <v>26</v>
      </c>
      <c r="G106" s="315">
        <f>SUM(G108:G112)</f>
        <v>16376.2</v>
      </c>
      <c r="H106" s="315">
        <v>25338873.9</v>
      </c>
      <c r="I106" s="315">
        <f>SUM(I108:I112)</f>
        <v>2872590.4000000004</v>
      </c>
      <c r="J106" s="315">
        <f>SUM(J108:J112)</f>
        <v>1934166.7000000002</v>
      </c>
      <c r="K106" s="316">
        <f>J106/G106*100</f>
        <v>11810.839510997668</v>
      </c>
      <c r="L106" s="317">
        <f>IF(H106=0,0,J106*100/H106)</f>
        <v>7.6331991217652355</v>
      </c>
      <c r="M106" s="315">
        <f>SUM(M108:M112)</f>
        <v>16290.76</v>
      </c>
      <c r="N106" s="330">
        <f>IF(G106=0,0,M106/G106*100)</f>
        <v>99.47826724148459</v>
      </c>
      <c r="O106" s="330">
        <f>IF(I106=0,0,M106*100/I106)</f>
        <v>0.5671104380213761</v>
      </c>
      <c r="P106" s="372">
        <f>SUM(P108:P112)</f>
        <v>2211065.5999999996</v>
      </c>
      <c r="Q106" s="319">
        <f>P106*100/G106</f>
        <v>13501.70124937409</v>
      </c>
      <c r="R106" s="464" t="s">
        <v>301</v>
      </c>
      <c r="S106" s="373">
        <f>SUM(S108:S112)</f>
        <v>850925.5</v>
      </c>
      <c r="T106" s="373">
        <f>SUM(T108:T112)</f>
        <v>823033.2</v>
      </c>
      <c r="U106" s="388">
        <f>IF(S106=0,0,T106*100/S106)</f>
        <v>96.72212197190001</v>
      </c>
    </row>
    <row r="107" spans="1:21" ht="20.25" customHeight="1">
      <c r="A107" s="462"/>
      <c r="B107" s="462"/>
      <c r="C107" s="461"/>
      <c r="D107" s="466"/>
      <c r="E107" s="463"/>
      <c r="F107" s="320" t="s">
        <v>29</v>
      </c>
      <c r="G107" s="321"/>
      <c r="H107" s="321"/>
      <c r="I107" s="321"/>
      <c r="J107" s="321"/>
      <c r="K107" s="322"/>
      <c r="L107" s="321"/>
      <c r="M107" s="323"/>
      <c r="N107" s="322"/>
      <c r="O107" s="323"/>
      <c r="P107" s="324"/>
      <c r="Q107" s="325"/>
      <c r="R107" s="464"/>
      <c r="S107" s="376"/>
      <c r="T107" s="389"/>
      <c r="U107" s="378"/>
    </row>
    <row r="108" spans="1:21" ht="30.75" customHeight="1" hidden="1">
      <c r="A108" s="462"/>
      <c r="B108" s="462"/>
      <c r="C108" s="461"/>
      <c r="D108" s="466"/>
      <c r="E108" s="462"/>
      <c r="F108" s="379" t="s">
        <v>27</v>
      </c>
      <c r="G108" s="384">
        <v>0</v>
      </c>
      <c r="H108" s="381">
        <v>48858.8</v>
      </c>
      <c r="I108" s="381">
        <v>48858.8</v>
      </c>
      <c r="J108" s="48">
        <v>28697.1</v>
      </c>
      <c r="K108" s="328" t="e">
        <f aca="true" t="shared" si="50" ref="K108:K113">J108/G108*100</f>
        <v>#DIV/0!</v>
      </c>
      <c r="L108" s="329">
        <f aca="true" t="shared" si="51" ref="L108:L113">IF(H108=0,0,J108*100/H108)</f>
        <v>58.73476221274366</v>
      </c>
      <c r="M108" s="48">
        <v>0</v>
      </c>
      <c r="N108" s="328">
        <f aca="true" t="shared" si="52" ref="N108:N113">IF(G108=0,0,M108/G108*100)</f>
        <v>0</v>
      </c>
      <c r="O108" s="328">
        <f aca="true" t="shared" si="53" ref="O108:O113">IF(I108=0,0,M108*100/I108)</f>
        <v>0</v>
      </c>
      <c r="P108" s="380">
        <v>41664.7</v>
      </c>
      <c r="Q108" s="332" t="e">
        <f>P108*100/G108</f>
        <v>#DIV/0!</v>
      </c>
      <c r="R108" s="464"/>
      <c r="S108" s="381">
        <v>10307.5</v>
      </c>
      <c r="T108" s="381">
        <v>7528.5</v>
      </c>
      <c r="U108" s="329">
        <f aca="true" t="shared" si="54" ref="U108:U113">IF(S108=0,0,T108*100/S108)</f>
        <v>73.0390492359932</v>
      </c>
    </row>
    <row r="109" spans="1:21" ht="33.75" customHeight="1" hidden="1">
      <c r="A109" s="462"/>
      <c r="B109" s="462"/>
      <c r="C109" s="461"/>
      <c r="D109" s="466"/>
      <c r="E109" s="462"/>
      <c r="F109" s="52" t="s">
        <v>30</v>
      </c>
      <c r="G109" s="384">
        <v>0</v>
      </c>
      <c r="H109" s="49">
        <v>1185530.1</v>
      </c>
      <c r="I109" s="49">
        <v>1185530.1</v>
      </c>
      <c r="J109" s="49">
        <v>918729.5</v>
      </c>
      <c r="K109" s="328" t="e">
        <f t="shared" si="50"/>
        <v>#DIV/0!</v>
      </c>
      <c r="L109" s="329">
        <f t="shared" si="51"/>
        <v>77.4952487499052</v>
      </c>
      <c r="M109" s="49">
        <v>0</v>
      </c>
      <c r="N109" s="328">
        <f t="shared" si="52"/>
        <v>0</v>
      </c>
      <c r="O109" s="328">
        <f t="shared" si="53"/>
        <v>0</v>
      </c>
      <c r="P109" s="383">
        <v>1174538.9</v>
      </c>
      <c r="Q109" s="332" t="e">
        <f>P109*100/G109</f>
        <v>#DIV/0!</v>
      </c>
      <c r="R109" s="464"/>
      <c r="S109" s="387">
        <v>189158.8</v>
      </c>
      <c r="T109" s="387">
        <v>169242.8</v>
      </c>
      <c r="U109" s="329">
        <f t="shared" si="54"/>
        <v>89.47128021535346</v>
      </c>
    </row>
    <row r="110" spans="1:21" ht="109.5" customHeight="1">
      <c r="A110" s="462"/>
      <c r="B110" s="462"/>
      <c r="C110" s="461"/>
      <c r="D110" s="466"/>
      <c r="E110" s="462"/>
      <c r="F110" s="52" t="s">
        <v>290</v>
      </c>
      <c r="G110" s="384">
        <v>16376.2</v>
      </c>
      <c r="H110" s="49"/>
      <c r="I110" s="49"/>
      <c r="J110" s="49"/>
      <c r="K110" s="328"/>
      <c r="L110" s="329"/>
      <c r="M110" s="49">
        <v>16290.76</v>
      </c>
      <c r="N110" s="328">
        <f t="shared" si="52"/>
        <v>99.47826724148459</v>
      </c>
      <c r="O110" s="328"/>
      <c r="P110" s="383"/>
      <c r="Q110" s="332"/>
      <c r="R110" s="464"/>
      <c r="S110" s="387"/>
      <c r="T110" s="387"/>
      <c r="U110" s="329"/>
    </row>
    <row r="111" spans="1:21" ht="12.75" hidden="1">
      <c r="A111" s="462"/>
      <c r="B111" s="462"/>
      <c r="C111" s="461"/>
      <c r="D111" s="466"/>
      <c r="E111" s="462"/>
      <c r="F111" s="52" t="s">
        <v>239</v>
      </c>
      <c r="G111" s="392">
        <v>0</v>
      </c>
      <c r="H111" s="328">
        <v>35238</v>
      </c>
      <c r="I111" s="328">
        <v>35238</v>
      </c>
      <c r="J111" s="49">
        <v>27118.3</v>
      </c>
      <c r="K111" s="328" t="e">
        <f t="shared" si="50"/>
        <v>#DIV/0!</v>
      </c>
      <c r="L111" s="329">
        <f t="shared" si="51"/>
        <v>76.95754583120495</v>
      </c>
      <c r="M111" s="49">
        <v>0</v>
      </c>
      <c r="N111" s="328">
        <f t="shared" si="52"/>
        <v>0</v>
      </c>
      <c r="O111" s="328">
        <f t="shared" si="53"/>
        <v>0</v>
      </c>
      <c r="P111" s="383">
        <v>35238</v>
      </c>
      <c r="Q111" s="332" t="e">
        <f>P111*100/G111</f>
        <v>#DIV/0!</v>
      </c>
      <c r="R111" s="464"/>
      <c r="S111" s="387">
        <v>8119.7</v>
      </c>
      <c r="T111" s="387">
        <v>8119.7</v>
      </c>
      <c r="U111" s="329">
        <f t="shared" si="54"/>
        <v>100</v>
      </c>
    </row>
    <row r="112" spans="1:21" ht="26.25" customHeight="1" hidden="1">
      <c r="A112" s="462"/>
      <c r="B112" s="462"/>
      <c r="C112" s="461"/>
      <c r="D112" s="466"/>
      <c r="E112" s="462"/>
      <c r="F112" s="52" t="s">
        <v>240</v>
      </c>
      <c r="G112" s="384">
        <v>0</v>
      </c>
      <c r="H112" s="328">
        <v>959624</v>
      </c>
      <c r="I112" s="381">
        <v>1602963.5</v>
      </c>
      <c r="J112" s="49">
        <v>959621.8</v>
      </c>
      <c r="K112" s="328" t="e">
        <f t="shared" si="50"/>
        <v>#DIV/0!</v>
      </c>
      <c r="L112" s="329">
        <f t="shared" si="51"/>
        <v>99.99977074354122</v>
      </c>
      <c r="M112" s="49">
        <v>0</v>
      </c>
      <c r="N112" s="328">
        <f t="shared" si="52"/>
        <v>0</v>
      </c>
      <c r="O112" s="328">
        <f t="shared" si="53"/>
        <v>0</v>
      </c>
      <c r="P112" s="383">
        <v>959624</v>
      </c>
      <c r="Q112" s="332">
        <v>100</v>
      </c>
      <c r="R112" s="464"/>
      <c r="S112" s="387">
        <v>643339.5</v>
      </c>
      <c r="T112" s="387">
        <v>638142.2</v>
      </c>
      <c r="U112" s="329">
        <f t="shared" si="54"/>
        <v>99.1921372774406</v>
      </c>
    </row>
    <row r="113" spans="1:21" ht="27.75" customHeight="1">
      <c r="A113" s="462" t="s">
        <v>90</v>
      </c>
      <c r="B113" s="462">
        <v>16</v>
      </c>
      <c r="C113" s="461" t="s">
        <v>274</v>
      </c>
      <c r="D113" s="462" t="s">
        <v>277</v>
      </c>
      <c r="E113" s="462" t="s">
        <v>275</v>
      </c>
      <c r="F113" s="371" t="s">
        <v>26</v>
      </c>
      <c r="G113" s="315">
        <f>SUM(G115:G119)</f>
        <v>144859.93</v>
      </c>
      <c r="H113" s="315">
        <v>5712248.1</v>
      </c>
      <c r="I113" s="395">
        <f>SUM(I115:I119)</f>
        <v>4163498.1</v>
      </c>
      <c r="J113" s="315">
        <f>SUM(J115:J119)</f>
        <v>3242280.4</v>
      </c>
      <c r="K113" s="316">
        <f t="shared" si="50"/>
        <v>2238.217566445048</v>
      </c>
      <c r="L113" s="317">
        <f t="shared" si="51"/>
        <v>56.76014667500174</v>
      </c>
      <c r="M113" s="315">
        <f>SUM(M115:M119)</f>
        <v>130905.97</v>
      </c>
      <c r="N113" s="330">
        <f t="shared" si="52"/>
        <v>90.36727409712265</v>
      </c>
      <c r="O113" s="330">
        <f t="shared" si="53"/>
        <v>3.1441342557595977</v>
      </c>
      <c r="P113" s="372">
        <f>SUM(P115:P119)</f>
        <v>3624135.1</v>
      </c>
      <c r="Q113" s="319">
        <f>P113*100/G113</f>
        <v>2501.8202756276355</v>
      </c>
      <c r="R113" s="464" t="s">
        <v>303</v>
      </c>
      <c r="S113" s="373">
        <f>SUM(S115:S119)</f>
        <v>439911</v>
      </c>
      <c r="T113" s="373">
        <f>SUM(T115:T119)</f>
        <v>54466.100000000006</v>
      </c>
      <c r="U113" s="388">
        <f t="shared" si="54"/>
        <v>12.381163462609484</v>
      </c>
    </row>
    <row r="114" spans="1:21" ht="15" customHeight="1">
      <c r="A114" s="462"/>
      <c r="B114" s="462"/>
      <c r="C114" s="461" t="e">
        <v>#REF!</v>
      </c>
      <c r="D114" s="462"/>
      <c r="E114" s="463"/>
      <c r="F114" s="320" t="s">
        <v>29</v>
      </c>
      <c r="G114" s="321"/>
      <c r="H114" s="321"/>
      <c r="I114" s="321"/>
      <c r="J114" s="321"/>
      <c r="K114" s="322"/>
      <c r="L114" s="321"/>
      <c r="M114" s="323"/>
      <c r="N114" s="322"/>
      <c r="O114" s="323"/>
      <c r="P114" s="324"/>
      <c r="Q114" s="325"/>
      <c r="R114" s="464"/>
      <c r="S114" s="376"/>
      <c r="T114" s="389"/>
      <c r="U114" s="378"/>
    </row>
    <row r="115" spans="1:21" ht="30.75" customHeight="1" hidden="1">
      <c r="A115" s="462"/>
      <c r="B115" s="462"/>
      <c r="C115" s="461"/>
      <c r="D115" s="462"/>
      <c r="E115" s="462"/>
      <c r="F115" s="379" t="s">
        <v>27</v>
      </c>
      <c r="G115" s="384">
        <v>0</v>
      </c>
      <c r="H115" s="329">
        <v>379417.4</v>
      </c>
      <c r="I115" s="329">
        <v>329417.4</v>
      </c>
      <c r="J115" s="48">
        <v>236770.6</v>
      </c>
      <c r="K115" s="328" t="e">
        <f>J115/G115*100</f>
        <v>#DIV/0!</v>
      </c>
      <c r="L115" s="329">
        <f aca="true" t="shared" si="55" ref="L115:L120">IF(H115=0,0,J115*100/H115)</f>
        <v>62.40372739890157</v>
      </c>
      <c r="M115" s="48">
        <v>0</v>
      </c>
      <c r="N115" s="328">
        <f aca="true" t="shared" si="56" ref="N115:N120">IF(G115=0,0,M115/G115*100)</f>
        <v>0</v>
      </c>
      <c r="O115" s="328">
        <f aca="true" t="shared" si="57" ref="O115:O120">IF(I115=0,0,M115*100/I115)</f>
        <v>0</v>
      </c>
      <c r="P115" s="380">
        <v>329417.5</v>
      </c>
      <c r="Q115" s="332" t="e">
        <f>P115*100/G115</f>
        <v>#DIV/0!</v>
      </c>
      <c r="R115" s="464"/>
      <c r="S115" s="381">
        <v>44475.6</v>
      </c>
      <c r="T115" s="381">
        <v>40943.3</v>
      </c>
      <c r="U115" s="329">
        <f aca="true" t="shared" si="58" ref="U115:U120">IF(S115=0,0,T115*100/S115)</f>
        <v>92.0578924174154</v>
      </c>
    </row>
    <row r="116" spans="1:21" ht="30" customHeight="1">
      <c r="A116" s="462"/>
      <c r="B116" s="462"/>
      <c r="C116" s="461" t="s">
        <v>41</v>
      </c>
      <c r="D116" s="462"/>
      <c r="E116" s="462"/>
      <c r="F116" s="52" t="s">
        <v>30</v>
      </c>
      <c r="G116" s="384">
        <v>33854.08</v>
      </c>
      <c r="H116" s="49">
        <v>3648385.5</v>
      </c>
      <c r="I116" s="49">
        <v>3648385.5</v>
      </c>
      <c r="J116" s="382">
        <v>2944629.5</v>
      </c>
      <c r="K116" s="328">
        <f>J116/G116*100</f>
        <v>8698.004789969185</v>
      </c>
      <c r="L116" s="329">
        <f t="shared" si="55"/>
        <v>80.71048138964481</v>
      </c>
      <c r="M116" s="49">
        <v>33854.08</v>
      </c>
      <c r="N116" s="328">
        <f t="shared" si="56"/>
        <v>100</v>
      </c>
      <c r="O116" s="328">
        <f t="shared" si="57"/>
        <v>0.9279194865783783</v>
      </c>
      <c r="P116" s="383">
        <v>3182091.4</v>
      </c>
      <c r="Q116" s="332">
        <f>P116*100/G116</f>
        <v>9399.432505624138</v>
      </c>
      <c r="R116" s="464"/>
      <c r="S116" s="345">
        <v>380497.7</v>
      </c>
      <c r="T116" s="345">
        <v>1002</v>
      </c>
      <c r="U116" s="329">
        <f t="shared" si="58"/>
        <v>0.26333930533614264</v>
      </c>
    </row>
    <row r="117" spans="1:21" ht="52.5" customHeight="1">
      <c r="A117" s="462"/>
      <c r="B117" s="462"/>
      <c r="C117" s="461"/>
      <c r="D117" s="462"/>
      <c r="E117" s="462"/>
      <c r="F117" s="52" t="s">
        <v>290</v>
      </c>
      <c r="G117" s="384">
        <v>111005.85</v>
      </c>
      <c r="H117" s="49"/>
      <c r="I117" s="49"/>
      <c r="J117" s="382"/>
      <c r="K117" s="328"/>
      <c r="L117" s="329"/>
      <c r="M117" s="49">
        <v>97051.89</v>
      </c>
      <c r="N117" s="328">
        <f t="shared" si="56"/>
        <v>87.4295273627471</v>
      </c>
      <c r="O117" s="328"/>
      <c r="P117" s="383"/>
      <c r="Q117" s="332"/>
      <c r="R117" s="464"/>
      <c r="S117" s="345"/>
      <c r="T117" s="345"/>
      <c r="U117" s="329"/>
    </row>
    <row r="118" spans="1:21" ht="19.5" customHeight="1" hidden="1">
      <c r="A118" s="462"/>
      <c r="B118" s="462"/>
      <c r="C118" s="461">
        <v>0</v>
      </c>
      <c r="D118" s="462"/>
      <c r="E118" s="462"/>
      <c r="F118" s="52" t="s">
        <v>239</v>
      </c>
      <c r="G118" s="384">
        <v>0</v>
      </c>
      <c r="H118" s="49">
        <v>112626.2</v>
      </c>
      <c r="I118" s="49">
        <v>185695.2</v>
      </c>
      <c r="J118" s="49">
        <v>60880.3</v>
      </c>
      <c r="K118" s="328" t="e">
        <f>J118/G118*100</f>
        <v>#DIV/0!</v>
      </c>
      <c r="L118" s="329">
        <f t="shared" si="55"/>
        <v>54.05518431768097</v>
      </c>
      <c r="M118" s="49">
        <v>0</v>
      </c>
      <c r="N118" s="328">
        <f t="shared" si="56"/>
        <v>0</v>
      </c>
      <c r="O118" s="328">
        <f t="shared" si="57"/>
        <v>0</v>
      </c>
      <c r="P118" s="383">
        <v>112626.2</v>
      </c>
      <c r="Q118" s="332" t="e">
        <f>P118*100/G118</f>
        <v>#DIV/0!</v>
      </c>
      <c r="R118" s="464"/>
      <c r="S118" s="345">
        <v>14937.7</v>
      </c>
      <c r="T118" s="345">
        <v>12520.8</v>
      </c>
      <c r="U118" s="329">
        <f t="shared" si="58"/>
        <v>83.82013295219478</v>
      </c>
    </row>
    <row r="119" spans="1:21" ht="25.5" hidden="1">
      <c r="A119" s="462"/>
      <c r="B119" s="462"/>
      <c r="C119" s="461">
        <v>0</v>
      </c>
      <c r="D119" s="462"/>
      <c r="E119" s="462"/>
      <c r="F119" s="52" t="s">
        <v>240</v>
      </c>
      <c r="G119" s="384">
        <v>0</v>
      </c>
      <c r="H119" s="328">
        <v>0</v>
      </c>
      <c r="I119" s="328">
        <v>0</v>
      </c>
      <c r="J119" s="49">
        <v>0</v>
      </c>
      <c r="K119" s="328">
        <v>0</v>
      </c>
      <c r="L119" s="329">
        <f t="shared" si="55"/>
        <v>0</v>
      </c>
      <c r="M119" s="49">
        <v>0</v>
      </c>
      <c r="N119" s="328">
        <f t="shared" si="56"/>
        <v>0</v>
      </c>
      <c r="O119" s="328">
        <f t="shared" si="57"/>
        <v>0</v>
      </c>
      <c r="P119" s="383">
        <v>0</v>
      </c>
      <c r="Q119" s="391">
        <v>0</v>
      </c>
      <c r="R119" s="464"/>
      <c r="S119" s="387">
        <v>0</v>
      </c>
      <c r="T119" s="387">
        <v>0</v>
      </c>
      <c r="U119" s="329">
        <f t="shared" si="58"/>
        <v>0</v>
      </c>
    </row>
    <row r="120" spans="1:21" ht="31.5" customHeight="1">
      <c r="A120" s="462" t="s">
        <v>4</v>
      </c>
      <c r="B120" s="462">
        <v>17</v>
      </c>
      <c r="C120" s="461" t="s">
        <v>278</v>
      </c>
      <c r="D120" s="462" t="s">
        <v>280</v>
      </c>
      <c r="E120" s="462" t="s">
        <v>279</v>
      </c>
      <c r="F120" s="371" t="s">
        <v>26</v>
      </c>
      <c r="G120" s="315">
        <f>SUM(G122:G126)</f>
        <v>1138.05</v>
      </c>
      <c r="H120" s="315">
        <v>571369.3</v>
      </c>
      <c r="I120" s="315">
        <f>SUM(I122:I126)</f>
        <v>571369.3</v>
      </c>
      <c r="J120" s="315">
        <f>SUM(J122:J126)</f>
        <v>385796.7</v>
      </c>
      <c r="K120" s="316">
        <f>J120/G120*100</f>
        <v>33899.8022933966</v>
      </c>
      <c r="L120" s="317">
        <f t="shared" si="55"/>
        <v>67.52142615992844</v>
      </c>
      <c r="M120" s="315">
        <f>SUM(M122:M126)</f>
        <v>1138.05</v>
      </c>
      <c r="N120" s="330">
        <f t="shared" si="56"/>
        <v>100</v>
      </c>
      <c r="O120" s="330">
        <f t="shared" si="57"/>
        <v>0.19917940988429023</v>
      </c>
      <c r="P120" s="372">
        <f>SUM(P122:P126)</f>
        <v>561492.5</v>
      </c>
      <c r="Q120" s="319">
        <f>P120*100/G120</f>
        <v>49338.122226615706</v>
      </c>
      <c r="R120" s="464" t="s">
        <v>315</v>
      </c>
      <c r="S120" s="315">
        <f>SUM(S122:S126)</f>
        <v>157133.5</v>
      </c>
      <c r="T120" s="315">
        <f>SUM(T122:T126)</f>
        <v>156911</v>
      </c>
      <c r="U120" s="416">
        <f t="shared" si="58"/>
        <v>99.85840065931198</v>
      </c>
    </row>
    <row r="121" spans="1:21" ht="15" customHeight="1">
      <c r="A121" s="462"/>
      <c r="B121" s="462"/>
      <c r="C121" s="461" t="e">
        <v>#REF!</v>
      </c>
      <c r="D121" s="462"/>
      <c r="E121" s="463"/>
      <c r="F121" s="320" t="s">
        <v>29</v>
      </c>
      <c r="G121" s="321"/>
      <c r="H121" s="321"/>
      <c r="I121" s="321"/>
      <c r="J121" s="321"/>
      <c r="K121" s="322"/>
      <c r="L121" s="321"/>
      <c r="M121" s="323"/>
      <c r="N121" s="322"/>
      <c r="O121" s="323"/>
      <c r="P121" s="324"/>
      <c r="Q121" s="325"/>
      <c r="R121" s="464"/>
      <c r="S121" s="376"/>
      <c r="T121" s="389"/>
      <c r="U121" s="378"/>
    </row>
    <row r="122" spans="1:21" ht="30.75" customHeight="1" hidden="1">
      <c r="A122" s="462"/>
      <c r="B122" s="462"/>
      <c r="C122" s="461"/>
      <c r="D122" s="462"/>
      <c r="E122" s="462"/>
      <c r="F122" s="379" t="s">
        <v>27</v>
      </c>
      <c r="G122" s="384">
        <v>0</v>
      </c>
      <c r="H122" s="48">
        <v>7500</v>
      </c>
      <c r="I122" s="48">
        <v>7500</v>
      </c>
      <c r="J122" s="48">
        <v>6684.9</v>
      </c>
      <c r="K122" s="328" t="e">
        <f>J122/G122*100</f>
        <v>#DIV/0!</v>
      </c>
      <c r="L122" s="329">
        <f aca="true" t="shared" si="59" ref="L122:L127">IF(H122=0,0,J122*100/H122)</f>
        <v>89.132</v>
      </c>
      <c r="M122" s="48">
        <v>0</v>
      </c>
      <c r="N122" s="328">
        <f aca="true" t="shared" si="60" ref="N122:N127">IF(G122=0,0,M122/G122*100)</f>
        <v>0</v>
      </c>
      <c r="O122" s="328">
        <f aca="true" t="shared" si="61" ref="O122:O127">IF(I122=0,0,M122*100/I122)</f>
        <v>0</v>
      </c>
      <c r="P122" s="380">
        <v>7500</v>
      </c>
      <c r="Q122" s="332" t="e">
        <f>P122*100/G122</f>
        <v>#DIV/0!</v>
      </c>
      <c r="R122" s="464"/>
      <c r="S122" s="381">
        <v>815.1</v>
      </c>
      <c r="T122" s="381">
        <v>815.1</v>
      </c>
      <c r="U122" s="329">
        <f aca="true" t="shared" si="62" ref="U122:U127">IF(S122=0,0,T122*100/S122)</f>
        <v>100</v>
      </c>
    </row>
    <row r="123" spans="1:21" ht="36.75" customHeight="1" hidden="1">
      <c r="A123" s="462"/>
      <c r="B123" s="462"/>
      <c r="C123" s="461"/>
      <c r="D123" s="462"/>
      <c r="E123" s="462"/>
      <c r="F123" s="52" t="s">
        <v>30</v>
      </c>
      <c r="G123" s="384">
        <v>0</v>
      </c>
      <c r="H123" s="49">
        <v>563869.3</v>
      </c>
      <c r="I123" s="49">
        <v>563869.3</v>
      </c>
      <c r="J123" s="49">
        <v>379111.8</v>
      </c>
      <c r="K123" s="328" t="e">
        <f>J123/G123*100</f>
        <v>#DIV/0!</v>
      </c>
      <c r="L123" s="329">
        <f t="shared" si="59"/>
        <v>67.23398489685464</v>
      </c>
      <c r="M123" s="49">
        <v>0</v>
      </c>
      <c r="N123" s="328">
        <f t="shared" si="60"/>
        <v>0</v>
      </c>
      <c r="O123" s="328">
        <f t="shared" si="61"/>
        <v>0</v>
      </c>
      <c r="P123" s="383">
        <v>553992.5</v>
      </c>
      <c r="Q123" s="332" t="e">
        <f>P123*100/G123</f>
        <v>#DIV/0!</v>
      </c>
      <c r="R123" s="464"/>
      <c r="S123" s="345">
        <v>156318.4</v>
      </c>
      <c r="T123" s="387">
        <v>156095.9</v>
      </c>
      <c r="U123" s="329">
        <f t="shared" si="62"/>
        <v>99.85766230974728</v>
      </c>
    </row>
    <row r="124" spans="1:21" ht="153.75" customHeight="1">
      <c r="A124" s="462"/>
      <c r="B124" s="462"/>
      <c r="C124" s="461"/>
      <c r="D124" s="462"/>
      <c r="E124" s="462"/>
      <c r="F124" s="52" t="s">
        <v>290</v>
      </c>
      <c r="G124" s="384">
        <v>1138.05</v>
      </c>
      <c r="H124" s="49"/>
      <c r="I124" s="49"/>
      <c r="J124" s="49"/>
      <c r="K124" s="328"/>
      <c r="L124" s="329"/>
      <c r="M124" s="49">
        <v>1138.05</v>
      </c>
      <c r="N124" s="328">
        <f t="shared" si="60"/>
        <v>100</v>
      </c>
      <c r="O124" s="328"/>
      <c r="P124" s="383"/>
      <c r="Q124" s="390"/>
      <c r="R124" s="464"/>
      <c r="S124" s="345"/>
      <c r="T124" s="387"/>
      <c r="U124" s="329"/>
    </row>
    <row r="125" spans="1:21" ht="19.5" customHeight="1" hidden="1">
      <c r="A125" s="462"/>
      <c r="B125" s="462"/>
      <c r="C125" s="461"/>
      <c r="D125" s="462"/>
      <c r="E125" s="462"/>
      <c r="F125" s="52" t="s">
        <v>239</v>
      </c>
      <c r="G125" s="384">
        <v>0</v>
      </c>
      <c r="H125" s="328">
        <v>0</v>
      </c>
      <c r="I125" s="328">
        <v>0</v>
      </c>
      <c r="J125" s="49">
        <v>0</v>
      </c>
      <c r="K125" s="328">
        <v>0</v>
      </c>
      <c r="L125" s="329">
        <f t="shared" si="59"/>
        <v>0</v>
      </c>
      <c r="M125" s="49">
        <v>0</v>
      </c>
      <c r="N125" s="328">
        <f t="shared" si="60"/>
        <v>0</v>
      </c>
      <c r="O125" s="328">
        <f t="shared" si="61"/>
        <v>0</v>
      </c>
      <c r="P125" s="383">
        <v>0</v>
      </c>
      <c r="Q125" s="391">
        <v>0</v>
      </c>
      <c r="R125" s="464"/>
      <c r="S125" s="345">
        <v>0</v>
      </c>
      <c r="T125" s="387">
        <v>0</v>
      </c>
      <c r="U125" s="329">
        <f t="shared" si="62"/>
        <v>0</v>
      </c>
    </row>
    <row r="126" spans="1:21" ht="30" customHeight="1" hidden="1">
      <c r="A126" s="462"/>
      <c r="B126" s="462"/>
      <c r="C126" s="461"/>
      <c r="D126" s="462"/>
      <c r="E126" s="462"/>
      <c r="F126" s="52" t="s">
        <v>240</v>
      </c>
      <c r="G126" s="384">
        <v>0</v>
      </c>
      <c r="H126" s="328">
        <v>0</v>
      </c>
      <c r="I126" s="328">
        <v>0</v>
      </c>
      <c r="J126" s="49">
        <v>0</v>
      </c>
      <c r="K126" s="328">
        <v>0</v>
      </c>
      <c r="L126" s="329">
        <f t="shared" si="59"/>
        <v>0</v>
      </c>
      <c r="M126" s="49">
        <v>0</v>
      </c>
      <c r="N126" s="328">
        <f t="shared" si="60"/>
        <v>0</v>
      </c>
      <c r="O126" s="328">
        <f t="shared" si="61"/>
        <v>0</v>
      </c>
      <c r="P126" s="383">
        <v>0</v>
      </c>
      <c r="Q126" s="391">
        <v>0</v>
      </c>
      <c r="R126" s="464"/>
      <c r="S126" s="387">
        <v>0</v>
      </c>
      <c r="T126" s="387">
        <v>0</v>
      </c>
      <c r="U126" s="329">
        <f t="shared" si="62"/>
        <v>0</v>
      </c>
    </row>
    <row r="127" spans="1:21" ht="39" customHeight="1">
      <c r="A127" s="462" t="s">
        <v>4</v>
      </c>
      <c r="B127" s="465">
        <v>18</v>
      </c>
      <c r="C127" s="467" t="s">
        <v>281</v>
      </c>
      <c r="D127" s="465" t="s">
        <v>283</v>
      </c>
      <c r="E127" s="465" t="s">
        <v>263</v>
      </c>
      <c r="F127" s="371" t="s">
        <v>26</v>
      </c>
      <c r="G127" s="315">
        <f>G129+G130+G133+G131</f>
        <v>769.53</v>
      </c>
      <c r="H127" s="315">
        <v>14400455</v>
      </c>
      <c r="I127" s="315" t="e">
        <f>I129+I130+I132+I133+#REF!+#REF!</f>
        <v>#REF!</v>
      </c>
      <c r="J127" s="315">
        <f>SUM(J129:J133)</f>
        <v>7090491.699999999</v>
      </c>
      <c r="K127" s="316">
        <f>J127/G127*100</f>
        <v>921405.4942627318</v>
      </c>
      <c r="L127" s="317">
        <f t="shared" si="59"/>
        <v>49.23796991136737</v>
      </c>
      <c r="M127" s="315">
        <f>SUM(M129:M133)</f>
        <v>769.53</v>
      </c>
      <c r="N127" s="330">
        <f t="shared" si="60"/>
        <v>100</v>
      </c>
      <c r="O127" s="330" t="e">
        <f t="shared" si="61"/>
        <v>#REF!</v>
      </c>
      <c r="P127" s="372" t="e">
        <f>P130+P132+P133+#REF!+#REF!</f>
        <v>#REF!</v>
      </c>
      <c r="Q127" s="319" t="e">
        <f>P127*100/G127</f>
        <v>#REF!</v>
      </c>
      <c r="R127" s="464" t="s">
        <v>302</v>
      </c>
      <c r="S127" s="315">
        <f>SUM(S129:S133)</f>
        <v>1070246.9</v>
      </c>
      <c r="T127" s="315">
        <f>SUM(T129:T133)</f>
        <v>644823.6</v>
      </c>
      <c r="U127" s="388">
        <f t="shared" si="62"/>
        <v>60.24998530712867</v>
      </c>
    </row>
    <row r="128" spans="1:21" ht="15" customHeight="1">
      <c r="A128" s="462"/>
      <c r="B128" s="466"/>
      <c r="C128" s="468"/>
      <c r="D128" s="466"/>
      <c r="E128" s="466"/>
      <c r="F128" s="320" t="s">
        <v>29</v>
      </c>
      <c r="G128" s="321"/>
      <c r="H128" s="321"/>
      <c r="I128" s="321"/>
      <c r="J128" s="321"/>
      <c r="K128" s="322"/>
      <c r="L128" s="321"/>
      <c r="M128" s="323"/>
      <c r="N128" s="322"/>
      <c r="O128" s="323"/>
      <c r="P128" s="324"/>
      <c r="Q128" s="325"/>
      <c r="R128" s="464"/>
      <c r="S128" s="376"/>
      <c r="T128" s="389"/>
      <c r="U128" s="378"/>
    </row>
    <row r="129" spans="1:21" ht="30.75" customHeight="1" hidden="1">
      <c r="A129" s="462"/>
      <c r="B129" s="466"/>
      <c r="C129" s="468"/>
      <c r="D129" s="466"/>
      <c r="E129" s="466"/>
      <c r="F129" s="379" t="s">
        <v>27</v>
      </c>
      <c r="G129" s="345">
        <v>0</v>
      </c>
      <c r="H129" s="398">
        <v>0</v>
      </c>
      <c r="I129" s="398">
        <v>0</v>
      </c>
      <c r="J129" s="49">
        <v>0</v>
      </c>
      <c r="K129" s="328">
        <v>0</v>
      </c>
      <c r="L129" s="329">
        <f>IF(H129=0,0,J129*100/H129)</f>
        <v>0</v>
      </c>
      <c r="M129" s="48">
        <v>0</v>
      </c>
      <c r="N129" s="328">
        <f>IF(G129=0,0,M129/G129*100)</f>
        <v>0</v>
      </c>
      <c r="O129" s="328">
        <f>IF(I129=0,0,M129*100/I129)</f>
        <v>0</v>
      </c>
      <c r="P129" s="380">
        <v>0</v>
      </c>
      <c r="Q129" s="391">
        <v>0</v>
      </c>
      <c r="R129" s="464"/>
      <c r="S129" s="417">
        <v>0</v>
      </c>
      <c r="T129" s="417">
        <v>0</v>
      </c>
      <c r="U129" s="329">
        <f>IF(S130=0,0,T129*100/S130)</f>
        <v>0</v>
      </c>
    </row>
    <row r="130" spans="1:21" ht="33.75" customHeight="1" hidden="1">
      <c r="A130" s="462"/>
      <c r="B130" s="466"/>
      <c r="C130" s="468"/>
      <c r="D130" s="466"/>
      <c r="E130" s="466"/>
      <c r="F130" s="335" t="s">
        <v>30</v>
      </c>
      <c r="G130" s="345">
        <v>0</v>
      </c>
      <c r="H130" s="49">
        <v>7844228.7</v>
      </c>
      <c r="I130" s="49">
        <v>7873869.6</v>
      </c>
      <c r="J130" s="49">
        <v>6720355.1</v>
      </c>
      <c r="K130" s="328" t="e">
        <f>J130/G130*100</f>
        <v>#DIV/0!</v>
      </c>
      <c r="L130" s="329">
        <f>IF(H130=0,0,J130*100/H130)</f>
        <v>85.67260538948845</v>
      </c>
      <c r="M130" s="337">
        <v>0</v>
      </c>
      <c r="N130" s="328">
        <f>IF(G130=0,0,M130/(G130-G132)*100)</f>
        <v>0</v>
      </c>
      <c r="O130" s="328">
        <f>IF(I130=0,0,M130*100/I130)</f>
        <v>0</v>
      </c>
      <c r="P130" s="418">
        <v>7711268.9</v>
      </c>
      <c r="Q130" s="332" t="e">
        <f>P130*100/G130</f>
        <v>#DIV/0!</v>
      </c>
      <c r="R130" s="464"/>
      <c r="S130" s="387">
        <v>1045726.2</v>
      </c>
      <c r="T130" s="387">
        <v>628577.4</v>
      </c>
      <c r="U130" s="329">
        <f>IF(S130=0,0,T130*100/S130)</f>
        <v>60.109175805292054</v>
      </c>
    </row>
    <row r="131" spans="1:21" ht="98.25" customHeight="1">
      <c r="A131" s="462"/>
      <c r="B131" s="466"/>
      <c r="C131" s="468"/>
      <c r="D131" s="466"/>
      <c r="E131" s="466"/>
      <c r="F131" s="335" t="s">
        <v>290</v>
      </c>
      <c r="G131" s="345">
        <v>769.53</v>
      </c>
      <c r="H131" s="49"/>
      <c r="I131" s="49"/>
      <c r="J131" s="49"/>
      <c r="K131" s="328"/>
      <c r="L131" s="329"/>
      <c r="M131" s="337">
        <v>769.53</v>
      </c>
      <c r="N131" s="328">
        <f>IF(G131=0,0,M131/(G131-G133)*100)</f>
        <v>100</v>
      </c>
      <c r="O131" s="328"/>
      <c r="P131" s="418"/>
      <c r="Q131" s="332"/>
      <c r="R131" s="464"/>
      <c r="S131" s="387"/>
      <c r="T131" s="387"/>
      <c r="U131" s="329"/>
    </row>
    <row r="132" spans="1:21" ht="15" customHeight="1" hidden="1">
      <c r="A132" s="462"/>
      <c r="B132" s="466"/>
      <c r="C132" s="468"/>
      <c r="D132" s="466"/>
      <c r="E132" s="466"/>
      <c r="F132" s="52" t="s">
        <v>239</v>
      </c>
      <c r="G132" s="345">
        <v>0</v>
      </c>
      <c r="H132" s="345">
        <v>241113.5</v>
      </c>
      <c r="I132" s="345">
        <v>241113.5</v>
      </c>
      <c r="J132" s="49">
        <v>241113.5</v>
      </c>
      <c r="K132" s="328" t="e">
        <f>J132/G132*100</f>
        <v>#DIV/0!</v>
      </c>
      <c r="L132" s="329">
        <f>IF(H132=0,0,J132*100/H132)</f>
        <v>100</v>
      </c>
      <c r="M132" s="49">
        <v>0</v>
      </c>
      <c r="N132" s="328">
        <f>IF(G132=0,0,M132/G132*100)</f>
        <v>0</v>
      </c>
      <c r="O132" s="328">
        <f>IF(I132=0,0,M132*100/I132)</f>
        <v>0</v>
      </c>
      <c r="P132" s="383">
        <v>241113.5</v>
      </c>
      <c r="Q132" s="332" t="e">
        <f>P132*100/G132</f>
        <v>#DIV/0!</v>
      </c>
      <c r="R132" s="464"/>
      <c r="S132" s="345">
        <v>0</v>
      </c>
      <c r="T132" s="345">
        <v>0</v>
      </c>
      <c r="U132" s="329">
        <f>IF(S132=0,0,T132*100/S132)</f>
        <v>0</v>
      </c>
    </row>
    <row r="133" spans="1:21" ht="30" customHeight="1" hidden="1">
      <c r="A133" s="462"/>
      <c r="B133" s="466"/>
      <c r="C133" s="468"/>
      <c r="D133" s="466"/>
      <c r="E133" s="466"/>
      <c r="F133" s="52" t="s">
        <v>240</v>
      </c>
      <c r="G133" s="49">
        <v>0</v>
      </c>
      <c r="H133" s="49">
        <v>108881</v>
      </c>
      <c r="I133" s="49">
        <v>108881</v>
      </c>
      <c r="J133" s="419">
        <v>129023.1</v>
      </c>
      <c r="K133" s="328" t="e">
        <f>J133/G133*100</f>
        <v>#DIV/0!</v>
      </c>
      <c r="L133" s="329">
        <f>IF(H133=0,0,J133*100/H133)</f>
        <v>118.49918718601042</v>
      </c>
      <c r="M133" s="419">
        <v>0</v>
      </c>
      <c r="N133" s="328">
        <f>IF(G133=0,0,M133/G133*100)</f>
        <v>0</v>
      </c>
      <c r="O133" s="328">
        <f>IF(I133=0,0,M133*100/I133)</f>
        <v>0</v>
      </c>
      <c r="P133" s="383">
        <v>128721</v>
      </c>
      <c r="Q133" s="332" t="e">
        <f>P133*100/G133</f>
        <v>#DIV/0!</v>
      </c>
      <c r="R133" s="464"/>
      <c r="S133" s="345">
        <v>24520.7</v>
      </c>
      <c r="T133" s="345">
        <v>16246.2</v>
      </c>
      <c r="U133" s="329">
        <f>IF(S133=0,0,T133*100/S133)</f>
        <v>66.25504165868021</v>
      </c>
    </row>
    <row r="134" spans="1:21" ht="35.25" customHeight="1">
      <c r="A134" s="462" t="s">
        <v>93</v>
      </c>
      <c r="B134" s="462">
        <v>19</v>
      </c>
      <c r="C134" s="461" t="s">
        <v>282</v>
      </c>
      <c r="D134" s="462" t="s">
        <v>285</v>
      </c>
      <c r="E134" s="462" t="s">
        <v>284</v>
      </c>
      <c r="F134" s="409" t="s">
        <v>26</v>
      </c>
      <c r="G134" s="373">
        <f>SUM(G136:G140)</f>
        <v>19752.65</v>
      </c>
      <c r="H134" s="373">
        <v>1965135.6</v>
      </c>
      <c r="I134" s="373">
        <f>SUM(I136:I140)</f>
        <v>1965135.6</v>
      </c>
      <c r="J134" s="373">
        <f>SUM(J136:J140)</f>
        <v>592030.8</v>
      </c>
      <c r="K134" s="388">
        <f>J134/G134*100</f>
        <v>2997.222144876763</v>
      </c>
      <c r="L134" s="375">
        <f>IF(H134=0,0,J134*100/H134)</f>
        <v>30.126714919825382</v>
      </c>
      <c r="M134" s="77">
        <f>SUM(M136:M140)</f>
        <v>14939.77</v>
      </c>
      <c r="N134" s="330">
        <f>IF(G134=0,0,M134/G134*100)</f>
        <v>75.6342566693583</v>
      </c>
      <c r="O134" s="330">
        <f>IF(I134=0,0,M134*100/I134)</f>
        <v>0.7602411762323169</v>
      </c>
      <c r="P134" s="420">
        <f>SUM(P136:P140)</f>
        <v>756146.2</v>
      </c>
      <c r="Q134" s="319">
        <f>P134*100/G134</f>
        <v>3828.0747140257126</v>
      </c>
      <c r="R134" s="469" t="s">
        <v>304</v>
      </c>
      <c r="S134" s="77">
        <f>SUM(S136:S140)</f>
        <v>1316555.1</v>
      </c>
      <c r="T134" s="77">
        <f>SUM(T136:T140)</f>
        <v>72448.9</v>
      </c>
      <c r="U134" s="388">
        <f>IF(S134=0,0,T134*100/S134)</f>
        <v>5.502914386188621</v>
      </c>
    </row>
    <row r="135" spans="1:21" ht="15" customHeight="1">
      <c r="A135" s="462"/>
      <c r="B135" s="462"/>
      <c r="C135" s="461" t="e">
        <v>#REF!</v>
      </c>
      <c r="D135" s="462"/>
      <c r="E135" s="463"/>
      <c r="F135" s="320" t="s">
        <v>29</v>
      </c>
      <c r="G135" s="321"/>
      <c r="H135" s="321"/>
      <c r="I135" s="321"/>
      <c r="J135" s="321"/>
      <c r="K135" s="322"/>
      <c r="L135" s="321"/>
      <c r="M135" s="323"/>
      <c r="N135" s="322"/>
      <c r="O135" s="323"/>
      <c r="P135" s="324"/>
      <c r="Q135" s="325"/>
      <c r="R135" s="469"/>
      <c r="S135" s="421"/>
      <c r="T135" s="389"/>
      <c r="U135" s="378"/>
    </row>
    <row r="136" spans="1:21" ht="30.75" customHeight="1" hidden="1">
      <c r="A136" s="462"/>
      <c r="B136" s="462"/>
      <c r="C136" s="461"/>
      <c r="D136" s="462"/>
      <c r="E136" s="462"/>
      <c r="F136" s="379" t="s">
        <v>27</v>
      </c>
      <c r="G136" s="384">
        <v>0</v>
      </c>
      <c r="H136" s="48">
        <v>0</v>
      </c>
      <c r="I136" s="48">
        <v>0</v>
      </c>
      <c r="J136" s="48">
        <v>0</v>
      </c>
      <c r="K136" s="328">
        <v>0</v>
      </c>
      <c r="L136" s="329">
        <f aca="true" t="shared" si="63" ref="L136:L141">IF(H136=0,0,J136*100/H136)</f>
        <v>0</v>
      </c>
      <c r="M136" s="48">
        <v>0</v>
      </c>
      <c r="N136" s="328">
        <f aca="true" t="shared" si="64" ref="N136:N141">IF(G136=0,0,M136/G136*100)</f>
        <v>0</v>
      </c>
      <c r="O136" s="328">
        <f aca="true" t="shared" si="65" ref="O136:O141">IF(I136=0,0,M136*100/I136)</f>
        <v>0</v>
      </c>
      <c r="P136" s="380">
        <v>0</v>
      </c>
      <c r="Q136" s="391">
        <v>0</v>
      </c>
      <c r="R136" s="469"/>
      <c r="S136" s="381">
        <v>0</v>
      </c>
      <c r="T136" s="422">
        <v>0</v>
      </c>
      <c r="U136" s="361">
        <f aca="true" t="shared" si="66" ref="U136:U141">IF(S136=0,0,T136*100/S136)</f>
        <v>0</v>
      </c>
    </row>
    <row r="137" spans="1:21" ht="38.25" customHeight="1">
      <c r="A137" s="462"/>
      <c r="B137" s="462"/>
      <c r="C137" s="461" t="s">
        <v>42</v>
      </c>
      <c r="D137" s="462"/>
      <c r="E137" s="462"/>
      <c r="F137" s="52" t="s">
        <v>3</v>
      </c>
      <c r="G137" s="384">
        <v>6911.4</v>
      </c>
      <c r="H137" s="49">
        <v>1965135.6</v>
      </c>
      <c r="I137" s="49">
        <v>1965135.6</v>
      </c>
      <c r="J137" s="49">
        <v>592030.8</v>
      </c>
      <c r="K137" s="328">
        <f>J137/G137*100</f>
        <v>8566.003993402206</v>
      </c>
      <c r="L137" s="329">
        <f t="shared" si="63"/>
        <v>30.126714919825382</v>
      </c>
      <c r="M137" s="49">
        <v>6911.34</v>
      </c>
      <c r="N137" s="328">
        <f t="shared" si="64"/>
        <v>99.99913186908587</v>
      </c>
      <c r="O137" s="328">
        <f t="shared" si="65"/>
        <v>0.35169786756700144</v>
      </c>
      <c r="P137" s="383">
        <v>756146.2</v>
      </c>
      <c r="Q137" s="332">
        <f>P137*100/G137</f>
        <v>10940.564863848136</v>
      </c>
      <c r="R137" s="469"/>
      <c r="S137" s="369">
        <v>1316555.1</v>
      </c>
      <c r="T137" s="364">
        <v>72448.9</v>
      </c>
      <c r="U137" s="361">
        <f t="shared" si="66"/>
        <v>5.502914386188621</v>
      </c>
    </row>
    <row r="138" spans="1:21" ht="62.25" customHeight="1">
      <c r="A138" s="462"/>
      <c r="B138" s="462"/>
      <c r="C138" s="461"/>
      <c r="D138" s="462"/>
      <c r="E138" s="462"/>
      <c r="F138" s="52" t="s">
        <v>290</v>
      </c>
      <c r="G138" s="384">
        <v>12841.25</v>
      </c>
      <c r="H138" s="49"/>
      <c r="I138" s="49"/>
      <c r="J138" s="49"/>
      <c r="K138" s="328"/>
      <c r="L138" s="329"/>
      <c r="M138" s="49">
        <v>8028.43</v>
      </c>
      <c r="N138" s="328">
        <f t="shared" si="64"/>
        <v>62.520626886011875</v>
      </c>
      <c r="O138" s="328"/>
      <c r="P138" s="383"/>
      <c r="Q138" s="390"/>
      <c r="R138" s="469"/>
      <c r="S138" s="369"/>
      <c r="T138" s="364"/>
      <c r="U138" s="361"/>
    </row>
    <row r="139" spans="1:21" ht="24" customHeight="1" hidden="1">
      <c r="A139" s="462"/>
      <c r="B139" s="462"/>
      <c r="C139" s="461">
        <v>0</v>
      </c>
      <c r="D139" s="462"/>
      <c r="E139" s="462"/>
      <c r="F139" s="52" t="s">
        <v>239</v>
      </c>
      <c r="G139" s="384">
        <v>0</v>
      </c>
      <c r="H139" s="49">
        <v>0</v>
      </c>
      <c r="I139" s="49">
        <v>0</v>
      </c>
      <c r="J139" s="49">
        <v>0</v>
      </c>
      <c r="K139" s="328">
        <v>0</v>
      </c>
      <c r="L139" s="329">
        <f t="shared" si="63"/>
        <v>0</v>
      </c>
      <c r="M139" s="49">
        <v>0</v>
      </c>
      <c r="N139" s="328">
        <f t="shared" si="64"/>
        <v>0</v>
      </c>
      <c r="O139" s="328">
        <f t="shared" si="65"/>
        <v>0</v>
      </c>
      <c r="P139" s="383">
        <v>0</v>
      </c>
      <c r="Q139" s="391">
        <v>0</v>
      </c>
      <c r="R139" s="469"/>
      <c r="S139" s="345">
        <v>0</v>
      </c>
      <c r="T139" s="364">
        <v>0</v>
      </c>
      <c r="U139" s="361">
        <f t="shared" si="66"/>
        <v>0</v>
      </c>
    </row>
    <row r="140" spans="1:21" ht="26.25" customHeight="1" hidden="1">
      <c r="A140" s="462"/>
      <c r="B140" s="462"/>
      <c r="C140" s="461">
        <v>0</v>
      </c>
      <c r="D140" s="462"/>
      <c r="E140" s="462"/>
      <c r="F140" s="52" t="s">
        <v>240</v>
      </c>
      <c r="G140" s="384">
        <v>0</v>
      </c>
      <c r="H140" s="49">
        <v>0</v>
      </c>
      <c r="I140" s="49">
        <v>0</v>
      </c>
      <c r="J140" s="49">
        <v>0</v>
      </c>
      <c r="K140" s="328">
        <v>0</v>
      </c>
      <c r="L140" s="329">
        <f t="shared" si="63"/>
        <v>0</v>
      </c>
      <c r="M140" s="49">
        <v>0</v>
      </c>
      <c r="N140" s="328">
        <f t="shared" si="64"/>
        <v>0</v>
      </c>
      <c r="O140" s="328">
        <f t="shared" si="65"/>
        <v>0</v>
      </c>
      <c r="P140" s="383">
        <v>0</v>
      </c>
      <c r="Q140" s="391">
        <v>0</v>
      </c>
      <c r="R140" s="469"/>
      <c r="S140" s="387">
        <v>0</v>
      </c>
      <c r="T140" s="364">
        <v>0</v>
      </c>
      <c r="U140" s="361">
        <f t="shared" si="66"/>
        <v>0</v>
      </c>
    </row>
    <row r="141" spans="1:21" ht="39.75" customHeight="1">
      <c r="A141" s="462" t="s">
        <v>93</v>
      </c>
      <c r="B141" s="462">
        <v>20</v>
      </c>
      <c r="C141" s="461" t="s">
        <v>286</v>
      </c>
      <c r="D141" s="462" t="s">
        <v>313</v>
      </c>
      <c r="E141" s="462" t="s">
        <v>287</v>
      </c>
      <c r="F141" s="371" t="s">
        <v>26</v>
      </c>
      <c r="G141" s="315">
        <f>SUM(G143:G147)</f>
        <v>1086</v>
      </c>
      <c r="H141" s="315">
        <v>8018077.2</v>
      </c>
      <c r="I141" s="315">
        <f>SUM(I143:I147)</f>
        <v>8210036</v>
      </c>
      <c r="J141" s="315">
        <f>SUM(J143:J147)</f>
        <v>7313788.399999999</v>
      </c>
      <c r="K141" s="316">
        <f>J141/G141*100</f>
        <v>673461.1786372006</v>
      </c>
      <c r="L141" s="317">
        <f t="shared" si="63"/>
        <v>91.21623822728971</v>
      </c>
      <c r="M141" s="315">
        <f>SUM(M143:M147)</f>
        <v>1085.994</v>
      </c>
      <c r="N141" s="330">
        <f t="shared" si="64"/>
        <v>99.99944751381214</v>
      </c>
      <c r="O141" s="330">
        <f t="shared" si="65"/>
        <v>0.013227639927522851</v>
      </c>
      <c r="P141" s="372">
        <f>SUM(P143:P147)</f>
        <v>8107220.7</v>
      </c>
      <c r="Q141" s="319">
        <f>P141*100/G141</f>
        <v>746521.2430939226</v>
      </c>
      <c r="R141" s="464" t="s">
        <v>312</v>
      </c>
      <c r="S141" s="77">
        <f>SUM(S143:S147)</f>
        <v>793328.7</v>
      </c>
      <c r="T141" s="77">
        <f>SUM(T143:T147)</f>
        <v>793334.7</v>
      </c>
      <c r="U141" s="388">
        <f t="shared" si="66"/>
        <v>100.0007563069381</v>
      </c>
    </row>
    <row r="142" spans="1:21" ht="17.25" customHeight="1">
      <c r="A142" s="462"/>
      <c r="B142" s="462"/>
      <c r="C142" s="461"/>
      <c r="D142" s="462"/>
      <c r="E142" s="463"/>
      <c r="F142" s="320" t="s">
        <v>29</v>
      </c>
      <c r="G142" s="321"/>
      <c r="H142" s="321"/>
      <c r="I142" s="321"/>
      <c r="J142" s="321"/>
      <c r="K142" s="322"/>
      <c r="L142" s="321"/>
      <c r="M142" s="323"/>
      <c r="N142" s="322"/>
      <c r="O142" s="323"/>
      <c r="P142" s="324"/>
      <c r="Q142" s="325"/>
      <c r="R142" s="464"/>
      <c r="S142" s="376"/>
      <c r="T142" s="389"/>
      <c r="U142" s="378"/>
    </row>
    <row r="143" spans="1:21" ht="35.25" customHeight="1" hidden="1">
      <c r="A143" s="462"/>
      <c r="B143" s="462"/>
      <c r="C143" s="461"/>
      <c r="D143" s="462"/>
      <c r="E143" s="462"/>
      <c r="F143" s="52" t="s">
        <v>27</v>
      </c>
      <c r="G143" s="345">
        <v>0</v>
      </c>
      <c r="H143" s="328">
        <v>0</v>
      </c>
      <c r="I143" s="328">
        <v>0</v>
      </c>
      <c r="J143" s="49">
        <v>0</v>
      </c>
      <c r="K143" s="328">
        <v>0</v>
      </c>
      <c r="L143" s="328">
        <f aca="true" t="shared" si="67" ref="L143:L148">IF(H143=0,0,J143*100/H143)</f>
        <v>0</v>
      </c>
      <c r="M143" s="49">
        <v>0</v>
      </c>
      <c r="N143" s="328">
        <f aca="true" t="shared" si="68" ref="N143:N148">IF(G143=0,0,M143/G143*100)</f>
        <v>0</v>
      </c>
      <c r="O143" s="328">
        <f aca="true" t="shared" si="69" ref="O143:O148">IF(I143=0,0,M143*100/I143)</f>
        <v>0</v>
      </c>
      <c r="P143" s="383">
        <v>0</v>
      </c>
      <c r="Q143" s="414">
        <v>0</v>
      </c>
      <c r="R143" s="464"/>
      <c r="S143" s="381">
        <v>0</v>
      </c>
      <c r="T143" s="381">
        <v>0</v>
      </c>
      <c r="U143" s="329">
        <f aca="true" t="shared" si="70" ref="U143:U148">IF(S143=0,0,T143*100/S143)</f>
        <v>0</v>
      </c>
    </row>
    <row r="144" spans="1:21" ht="33.75" customHeight="1" hidden="1">
      <c r="A144" s="462"/>
      <c r="B144" s="462"/>
      <c r="C144" s="461"/>
      <c r="D144" s="462"/>
      <c r="E144" s="462"/>
      <c r="F144" s="52" t="s">
        <v>30</v>
      </c>
      <c r="G144" s="345">
        <v>0</v>
      </c>
      <c r="H144" s="49">
        <v>8017823.7</v>
      </c>
      <c r="I144" s="49">
        <v>8209782.5</v>
      </c>
      <c r="J144" s="49">
        <v>7313570.6</v>
      </c>
      <c r="K144" s="328" t="e">
        <f>J144/G144*100</f>
        <v>#DIV/0!</v>
      </c>
      <c r="L144" s="328">
        <f t="shared" si="67"/>
        <v>91.21640576856285</v>
      </c>
      <c r="M144" s="49">
        <v>0</v>
      </c>
      <c r="N144" s="397">
        <f t="shared" si="68"/>
        <v>0</v>
      </c>
      <c r="O144" s="328">
        <f t="shared" si="69"/>
        <v>0</v>
      </c>
      <c r="P144" s="383">
        <v>8106967.2</v>
      </c>
      <c r="Q144" s="332" t="e">
        <f>P144*100/G144</f>
        <v>#DIV/0!</v>
      </c>
      <c r="R144" s="464"/>
      <c r="S144" s="345">
        <v>793328.6</v>
      </c>
      <c r="T144" s="345">
        <v>793315.7</v>
      </c>
      <c r="U144" s="329">
        <f t="shared" si="70"/>
        <v>99.99837393987814</v>
      </c>
    </row>
    <row r="145" spans="1:21" ht="77.25" customHeight="1">
      <c r="A145" s="462"/>
      <c r="B145" s="462"/>
      <c r="C145" s="461"/>
      <c r="D145" s="462"/>
      <c r="E145" s="462"/>
      <c r="F145" s="52" t="s">
        <v>288</v>
      </c>
      <c r="G145" s="345">
        <v>1086</v>
      </c>
      <c r="H145" s="49">
        <v>253.5</v>
      </c>
      <c r="I145" s="49">
        <v>253.5</v>
      </c>
      <c r="J145" s="49">
        <v>217.8</v>
      </c>
      <c r="K145" s="328">
        <f>J145/G145*100</f>
        <v>20.055248618784532</v>
      </c>
      <c r="L145" s="328">
        <f t="shared" si="67"/>
        <v>85.9171597633136</v>
      </c>
      <c r="M145" s="49">
        <v>1085.994</v>
      </c>
      <c r="N145" s="328">
        <f t="shared" si="68"/>
        <v>99.99944751381214</v>
      </c>
      <c r="O145" s="328">
        <f t="shared" si="69"/>
        <v>428.4</v>
      </c>
      <c r="P145" s="383">
        <v>253.5</v>
      </c>
      <c r="Q145" s="332">
        <f>P145*100/G145</f>
        <v>23.34254143646409</v>
      </c>
      <c r="R145" s="464"/>
      <c r="S145" s="345">
        <v>0.1</v>
      </c>
      <c r="T145" s="423">
        <v>19</v>
      </c>
      <c r="U145" s="329">
        <f t="shared" si="70"/>
        <v>19000</v>
      </c>
    </row>
    <row r="146" spans="1:21" ht="19.5" customHeight="1" hidden="1">
      <c r="A146" s="462"/>
      <c r="B146" s="462"/>
      <c r="C146" s="461"/>
      <c r="D146" s="462"/>
      <c r="E146" s="462"/>
      <c r="F146" s="52" t="s">
        <v>239</v>
      </c>
      <c r="G146" s="345">
        <v>0</v>
      </c>
      <c r="H146" s="49">
        <v>0</v>
      </c>
      <c r="I146" s="49">
        <v>0</v>
      </c>
      <c r="J146" s="49">
        <v>0</v>
      </c>
      <c r="K146" s="328">
        <v>0</v>
      </c>
      <c r="L146" s="328">
        <f t="shared" si="67"/>
        <v>0</v>
      </c>
      <c r="M146" s="49">
        <v>0</v>
      </c>
      <c r="N146" s="328">
        <f t="shared" si="68"/>
        <v>0</v>
      </c>
      <c r="O146" s="328">
        <f t="shared" si="69"/>
        <v>0</v>
      </c>
      <c r="P146" s="383">
        <v>0</v>
      </c>
      <c r="Q146" s="414">
        <v>0</v>
      </c>
      <c r="R146" s="464"/>
      <c r="S146" s="387">
        <v>0</v>
      </c>
      <c r="T146" s="387">
        <v>0</v>
      </c>
      <c r="U146" s="329">
        <f t="shared" si="70"/>
        <v>0</v>
      </c>
    </row>
    <row r="147" spans="1:21" ht="28.5" customHeight="1" hidden="1">
      <c r="A147" s="462"/>
      <c r="B147" s="462"/>
      <c r="C147" s="461"/>
      <c r="D147" s="462"/>
      <c r="E147" s="462"/>
      <c r="F147" s="52" t="s">
        <v>240</v>
      </c>
      <c r="G147" s="345">
        <v>0</v>
      </c>
      <c r="H147" s="49">
        <v>0</v>
      </c>
      <c r="I147" s="49">
        <v>0</v>
      </c>
      <c r="J147" s="49">
        <v>0</v>
      </c>
      <c r="K147" s="328">
        <v>0</v>
      </c>
      <c r="L147" s="328">
        <f t="shared" si="67"/>
        <v>0</v>
      </c>
      <c r="M147" s="49">
        <v>0</v>
      </c>
      <c r="N147" s="328">
        <f t="shared" si="68"/>
        <v>0</v>
      </c>
      <c r="O147" s="328">
        <f t="shared" si="69"/>
        <v>0</v>
      </c>
      <c r="P147" s="383">
        <v>0</v>
      </c>
      <c r="Q147" s="414">
        <v>0</v>
      </c>
      <c r="R147" s="464"/>
      <c r="S147" s="345">
        <v>0</v>
      </c>
      <c r="T147" s="387">
        <v>0</v>
      </c>
      <c r="U147" s="329">
        <f t="shared" si="70"/>
        <v>0</v>
      </c>
    </row>
    <row r="148" spans="1:21" ht="36.75" customHeight="1">
      <c r="A148" s="462"/>
      <c r="B148" s="462"/>
      <c r="C148" s="481" t="s">
        <v>45</v>
      </c>
      <c r="D148" s="462"/>
      <c r="E148" s="462"/>
      <c r="F148" s="371" t="s">
        <v>5</v>
      </c>
      <c r="G148" s="424">
        <f>G9+G16+G23+G30+G37+G44+G51+G58+G65+G72+G79+G86+G93+G100+G106+G113+G120+G127+G134+G141</f>
        <v>4087053.3900000006</v>
      </c>
      <c r="H148" s="424">
        <v>272173316.951</v>
      </c>
      <c r="I148" s="424" t="e">
        <f>I9+I16+I23+I30+I37+I44+I51+I58+I65+I72+I79+I86+I93+I100+I106+I113+I120+I127+I134+I141+#REF!+#REF!+#REF!+#REF!+#REF!</f>
        <v>#REF!</v>
      </c>
      <c r="J148" s="424" t="e">
        <f>SUM(J9+J16+J23+J30+J37+J44+J51+J58+J65+J72+J79+J86+J93+J100+J106+J113+J120+J127+J134+J141+#REF!+#REF!+#REF!+#REF!+#REF!)+17635.5</f>
        <v>#REF!</v>
      </c>
      <c r="K148" s="425" t="e">
        <f>J148/G148*100</f>
        <v>#REF!</v>
      </c>
      <c r="L148" s="426" t="e">
        <f t="shared" si="67"/>
        <v>#REF!</v>
      </c>
      <c r="M148" s="424">
        <f>M9+M16+M23+M30+M37+M44+M51+M58+M65+M72+M79+M86+M93+M100+M106+M113+M120+M127+M134+M141</f>
        <v>3842923.3939999994</v>
      </c>
      <c r="N148" s="330">
        <f t="shared" si="68"/>
        <v>94.02674805772475</v>
      </c>
      <c r="O148" s="427" t="e">
        <f t="shared" si="69"/>
        <v>#REF!</v>
      </c>
      <c r="P148" s="383" t="e">
        <f>SUM(P150:P154)</f>
        <v>#REF!</v>
      </c>
      <c r="Q148" s="319" t="e">
        <f>P148*100/G148</f>
        <v>#REF!</v>
      </c>
      <c r="R148" s="501"/>
      <c r="S148" s="373" t="e">
        <f>SUM(S9+S16+S23+S30+S37+S44+S51+S58+S65+S72+S79+S86+S93+S100+S106+S113+S120+S127+S134+S141+#REF!+#REF!+#REF!+#REF!+#REF!)</f>
        <v>#REF!</v>
      </c>
      <c r="T148" s="373" t="e">
        <f>SUM(T9+T16+T23+T30+T37+T44+T51+T58+T65+T72+T79+T86+T93+T100+T106+T113+T120+T127+T134+T141+#REF!+#REF!+#REF!+#REF!+#REF!)</f>
        <v>#REF!</v>
      </c>
      <c r="U148" s="375" t="e">
        <f t="shared" si="70"/>
        <v>#REF!</v>
      </c>
    </row>
    <row r="149" spans="1:21" ht="16.5" customHeight="1">
      <c r="A149" s="462"/>
      <c r="B149" s="462"/>
      <c r="C149" s="481"/>
      <c r="D149" s="462"/>
      <c r="E149" s="463"/>
      <c r="F149" s="320" t="s">
        <v>29</v>
      </c>
      <c r="G149" s="428"/>
      <c r="H149" s="321"/>
      <c r="I149" s="321"/>
      <c r="J149" s="321"/>
      <c r="K149" s="322"/>
      <c r="L149" s="321"/>
      <c r="M149" s="323"/>
      <c r="N149" s="322"/>
      <c r="O149" s="323"/>
      <c r="P149" s="324"/>
      <c r="Q149" s="325"/>
      <c r="R149" s="501"/>
      <c r="S149" s="429"/>
      <c r="T149" s="430"/>
      <c r="U149" s="378"/>
    </row>
    <row r="150" spans="1:21" ht="31.5" customHeight="1">
      <c r="A150" s="462"/>
      <c r="B150" s="462"/>
      <c r="C150" s="481"/>
      <c r="D150" s="462"/>
      <c r="E150" s="462"/>
      <c r="F150" s="379" t="s">
        <v>27</v>
      </c>
      <c r="G150" s="431">
        <f>G11+G18+G25+G32+G39+G46+G53+G60+G67+G74+G81+G88+G95+G102+G108+G115+G122+G129+G136+G143</f>
        <v>2703.71</v>
      </c>
      <c r="H150" s="431">
        <v>6146061.960999999</v>
      </c>
      <c r="I150" s="431" t="e">
        <f>I11++I18+I25+I32+I39+I46+I53+I60+I67+I74+I81+I88+I95+I102+I108+I115+I122+I129+I136+I143+#REF!+#REF!+#REF!+#REF!+#REF!</f>
        <v>#REF!</v>
      </c>
      <c r="J150" s="431" t="e">
        <f>J11+J18+J25+J32+J39+J46+J53+J60+J67+J74+J81+J88+J95+J102+J108+J115+J122+J129+J136+J143+#REF!+#REF!+#REF!+#REF!+#REF!</f>
        <v>#REF!</v>
      </c>
      <c r="K150" s="425" t="e">
        <f>J150/G150*100</f>
        <v>#REF!</v>
      </c>
      <c r="L150" s="432" t="e">
        <f>IF(H150=0,0,J150*100/H150)</f>
        <v>#REF!</v>
      </c>
      <c r="M150" s="431">
        <f>M11++M18+M25+M32+M39+M46+M53+M60+M67+M74+M81+M88+M95+M102+M108+M115+M122+M129+M136+M143</f>
        <v>2703.5299999999997</v>
      </c>
      <c r="N150" s="330">
        <f>IF(G150=0,0,M150/G150*100)</f>
        <v>99.99334248125722</v>
      </c>
      <c r="O150" s="427" t="e">
        <f>IF(I150=0,0,M150*100/I150)</f>
        <v>#REF!</v>
      </c>
      <c r="P150" s="332" t="e">
        <f>P11+P18+P25+P32+P39+P46+P53+P60+P67+P74+P81+P88+P95+P102+P108+P115+P122+P129+P136+P143+#REF!+#REF!+#REF!+#REF!+#REF!</f>
        <v>#REF!</v>
      </c>
      <c r="Q150" s="319" t="e">
        <f>P150*100/G150</f>
        <v>#REF!</v>
      </c>
      <c r="R150" s="501"/>
      <c r="S150" s="433" t="e">
        <f>S18+S11+S25+S32+S53+S60+S39+S46++S67+S74+S115+S122+S95+S81+S108+S102+S88+#REF!+#REF!+#REF!+#REF!+S136+S143+#REF!+S129</f>
        <v>#REF!</v>
      </c>
      <c r="T150" s="433" t="e">
        <f>T18+T11+T25+T32+T53+T60+T39+T46++T67+T74+T115+T122+T95+T81+T108+T102+T88+#REF!+#REF!+#REF!+#REF!+T136+T143+#REF!+T129</f>
        <v>#REF!</v>
      </c>
      <c r="U150" s="388" t="e">
        <f>IF(S150=0,0,T150*100/S150)</f>
        <v>#REF!</v>
      </c>
    </row>
    <row r="151" spans="1:21" ht="39.75" customHeight="1">
      <c r="A151" s="462"/>
      <c r="B151" s="462"/>
      <c r="C151" s="481"/>
      <c r="D151" s="462"/>
      <c r="E151" s="462"/>
      <c r="F151" s="52" t="s">
        <v>30</v>
      </c>
      <c r="G151" s="431">
        <f>G12+G19+G26+G33+G40+G47+G54+G61+G68+G75+G82+G89+G96+G103+G109+G116+G123+G130+G137+G144</f>
        <v>1995258.48</v>
      </c>
      <c r="H151" s="431">
        <v>183179379.99999997</v>
      </c>
      <c r="I151" s="431" t="e">
        <f>I12+I19+I26+I33+I40+I47+I54+I61+I68+I75+I82+I89+I96+I103+I109+I116+I123+I130+I137+I144+#REF!+#REF!+#REF!+#REF!+#REF!+I132</f>
        <v>#REF!</v>
      </c>
      <c r="J151" s="431" t="e">
        <f>J12+J19+J26+J33+J40+J47+J54+J61+J68+J75+J82+J89+J96+J103+J109+J116+J123+J130+J137+J144+#REF!+#REF!+#REF!+#REF!+#REF!+J132</f>
        <v>#REF!</v>
      </c>
      <c r="K151" s="425" t="e">
        <f>J151/G151*100</f>
        <v>#REF!</v>
      </c>
      <c r="L151" s="432" t="e">
        <f>IF(H151=0,0,J151*100/H151)</f>
        <v>#REF!</v>
      </c>
      <c r="M151" s="431">
        <f>M12++M19+M26+M33+M40+M47+M54+M61+M68+M75+M82+M89+M96+M103+M109+M116+M123+M130+M137+M144</f>
        <v>1952446.2700000003</v>
      </c>
      <c r="N151" s="330">
        <f>IF(G151=0,0,M151/G151*100)</f>
        <v>97.85430256635222</v>
      </c>
      <c r="O151" s="427" t="e">
        <f>IF(I151=0,0,M151*100/I151)</f>
        <v>#REF!</v>
      </c>
      <c r="P151" s="434" t="e">
        <f>P12+P19+P26+P33+P40+P47+P54+P61+P68+P75+P82+P89+P96+P103+P109+P116+P123+P130+P137+P144+#REF!+#REF!+#REF!+#REF!+#REF!</f>
        <v>#REF!</v>
      </c>
      <c r="Q151" s="319" t="e">
        <f>P151*100/G151</f>
        <v>#REF!</v>
      </c>
      <c r="R151" s="501"/>
      <c r="S151" s="433" t="e">
        <f>S12+S19+S26+S33+S40+S47+S54+S61+S68+S75+S82+S89+S96+S103+S109+S116+S123+S130+S137+S144+#REF!+#REF!+#REF!+#REF!+#REF!+S132</f>
        <v>#REF!</v>
      </c>
      <c r="T151" s="433" t="e">
        <f>T12+T19+T26+T33+T40+T47+T54+T61+T68+T75+T82+T89+T96+T103+T109+T116+T123+T130+T137+T144+#REF!+#REF!+#REF!+#REF!+#REF!+T132</f>
        <v>#REF!</v>
      </c>
      <c r="U151" s="388" t="e">
        <f>IF(S151=0,0,T151*100/S151)</f>
        <v>#REF!</v>
      </c>
    </row>
    <row r="152" spans="1:21" ht="25.5" customHeight="1">
      <c r="A152" s="462"/>
      <c r="B152" s="462"/>
      <c r="C152" s="481"/>
      <c r="D152" s="462"/>
      <c r="E152" s="462"/>
      <c r="F152" s="52" t="s">
        <v>288</v>
      </c>
      <c r="G152" s="431">
        <f>SUM(G13+G20+G27+G34+G41+G48+G55+G62+G69+G76+G83+G90+G97+G104+G110+G117+G124+G131+G138+G145)</f>
        <v>2027060.9000000001</v>
      </c>
      <c r="H152" s="431">
        <f aca="true" t="shared" si="71" ref="H152:M152">SUM(H13+H20+H27+H34+H41+H48+H55+H62+H69+H76+H83+H90+H97+H104+H110+H117+H124+H131+H138+H145)</f>
        <v>5977.49</v>
      </c>
      <c r="I152" s="431">
        <f t="shared" si="71"/>
        <v>5977.49</v>
      </c>
      <c r="J152" s="431">
        <f t="shared" si="71"/>
        <v>3686.885</v>
      </c>
      <c r="K152" s="431">
        <f t="shared" si="71"/>
        <v>74.19625525163666</v>
      </c>
      <c r="L152" s="431">
        <f t="shared" si="71"/>
        <v>146.52322301639407</v>
      </c>
      <c r="M152" s="431">
        <f t="shared" si="71"/>
        <v>1844410.034</v>
      </c>
      <c r="N152" s="330">
        <f>IF(G152=0,0,M152/G152*100)</f>
        <v>90.98937451755889</v>
      </c>
      <c r="O152" s="427">
        <f>IF(I152=0,0,M152*100/I152)</f>
        <v>30855.92839134821</v>
      </c>
      <c r="P152" s="435" t="e">
        <f>#REF!+P21+P28+P35+P42+P49+P56+P63+P70+P77+P84+P91+P98+P104+P111+P118+P125+P133+P139+P145+#REF!+#REF!+#REF!+#REF!+#REF!-P50</f>
        <v>#REF!</v>
      </c>
      <c r="Q152" s="319" t="e">
        <f>P152*100/G152</f>
        <v>#REF!</v>
      </c>
      <c r="R152" s="501"/>
      <c r="S152" s="433" t="e">
        <f>S21+#REF!+S28+S35+S56+S63+S42+S49+S70+S77+S118+S125+S98+S84+S111+S104+S91+#REF!+#REF!+#REF!+#REF!+S139+S145+#REF!+S133</f>
        <v>#REF!</v>
      </c>
      <c r="T152" s="433" t="e">
        <f>T21+#REF!+T28+T35+T56+T63+T42+T49+T70+T77+T118+T125+T98+T84+T111+T104+T91+#REF!+#REF!+#REF!+#REF!+T139+T145+#REF!+T133</f>
        <v>#REF!</v>
      </c>
      <c r="U152" s="388" t="e">
        <f>IF(S152=0,0,T152*100/S152)</f>
        <v>#REF!</v>
      </c>
    </row>
    <row r="153" spans="1:21" ht="24" customHeight="1">
      <c r="A153" s="462"/>
      <c r="B153" s="462"/>
      <c r="C153" s="481"/>
      <c r="D153" s="462"/>
      <c r="E153" s="462"/>
      <c r="F153" s="52" t="s">
        <v>239</v>
      </c>
      <c r="G153" s="431">
        <f>SUM(G14+G21+G28+G35+G42+G49+G56+G63+G70+G77+G84+G91+G98+G111+G118+G125+G132+G139+G146)</f>
        <v>1056.3</v>
      </c>
      <c r="H153" s="431">
        <f aca="true" t="shared" si="72" ref="H153:M153">SUM(H14+H21+H28+H35+H42+H49+H56+H63+H70+H77+H84+H91+H98+H111+H118+H125+H132+H139+H146)</f>
        <v>3527009.5</v>
      </c>
      <c r="I153" s="431">
        <f t="shared" si="72"/>
        <v>3166094.3</v>
      </c>
      <c r="J153" s="431">
        <f t="shared" si="72"/>
        <v>1425432.372</v>
      </c>
      <c r="K153" s="431" t="e">
        <f t="shared" si="72"/>
        <v>#DIV/0!</v>
      </c>
      <c r="L153" s="431">
        <f t="shared" si="72"/>
        <v>673.6341810885218</v>
      </c>
      <c r="M153" s="431">
        <f t="shared" si="72"/>
        <v>1056.3</v>
      </c>
      <c r="N153" s="330">
        <f>IF(G153=0,0,M153/G153*100)</f>
        <v>100</v>
      </c>
      <c r="O153" s="427">
        <f>IF(I153=0,0,M153*100/I153)</f>
        <v>0.03336287235664459</v>
      </c>
      <c r="P153" s="434" t="e">
        <f>#REF!+P22+P29+P36+#REF!+#REF!+P57+P64+P71+P78+P85+P92+P99+P105+P112+P119+P126+#REF!+P140+P146+#REF!+#REF!+#REF!+#REF!+#REF!</f>
        <v>#REF!</v>
      </c>
      <c r="Q153" s="319" t="e">
        <f>P153*100/G153</f>
        <v>#REF!</v>
      </c>
      <c r="R153" s="501"/>
      <c r="S153" s="433" t="e">
        <f>#REF!+S22+S29+S36+#REF!+#REF!+S57+S64+S71+S78+S85+S92+S99+S105+S112+S119+S126+#REF!+S140+S146+#REF!+#REF!+#REF!+#REF!+#REF!</f>
        <v>#REF!</v>
      </c>
      <c r="T153" s="433" t="e">
        <f>#REF!+T22+T29+T36+#REF!+#REF!+T57+T64+T71+T78+T85+T92+T99+T105+T112+T119+T126+#REF!+T140+T146+#REF!+#REF!+#REF!+#REF!+#REF!</f>
        <v>#REF!</v>
      </c>
      <c r="U153" s="388" t="e">
        <f>IF(S153=0,0,T153*100/S153)</f>
        <v>#REF!</v>
      </c>
    </row>
    <row r="154" spans="1:21" ht="39.75" customHeight="1">
      <c r="A154" s="462"/>
      <c r="B154" s="462"/>
      <c r="C154" s="481"/>
      <c r="D154" s="462"/>
      <c r="E154" s="462"/>
      <c r="F154" s="52" t="s">
        <v>240</v>
      </c>
      <c r="G154" s="431">
        <f>SUM(G15+G22+G29+G36+G43+G50+G57+G64+G71+G78+G85+G92+G99+G105+G112+G119+G126+G133+G140+G147)</f>
        <v>60974</v>
      </c>
      <c r="H154" s="431">
        <f aca="true" t="shared" si="73" ref="H154:M154">SUM(H15+H22+H29+H36+H43+H50+H57+H64+H71+H78+H85+H92+H99+H105+H112+H119+H126+H133+H140+H147)</f>
        <v>30018284.1</v>
      </c>
      <c r="I154" s="431">
        <f t="shared" si="73"/>
        <v>30593849.6</v>
      </c>
      <c r="J154" s="431">
        <f t="shared" si="73"/>
        <v>26456901.800000004</v>
      </c>
      <c r="K154" s="431" t="e">
        <f t="shared" si="73"/>
        <v>#DIV/0!</v>
      </c>
      <c r="L154" s="431">
        <f t="shared" si="73"/>
        <v>646.5115579100117</v>
      </c>
      <c r="M154" s="431">
        <f t="shared" si="73"/>
        <v>42307.26</v>
      </c>
      <c r="N154" s="330">
        <f>IF(G154=0,0,M154/G154*100)</f>
        <v>69.38573818348804</v>
      </c>
      <c r="O154" s="427">
        <f>IF(I154=0,0,M154*100/I154)</f>
        <v>0.13828681435369283</v>
      </c>
      <c r="P154" s="431" t="e">
        <f>#REF!+#REF!+#REF!+#REF!+#REF!+P50+#REF!+#REF!+#REF!+#REF!+#REF!+#REF!+#REF!+#REF!+#REF!+#REF!+#REF!+#REF!+#REF!+P147+#REF!+#REF!+#REF!+#REF!+#REF!+#REF!+#REF!</f>
        <v>#REF!</v>
      </c>
      <c r="Q154" s="319" t="e">
        <f>P154*100/G154</f>
        <v>#REF!</v>
      </c>
      <c r="R154" s="501"/>
      <c r="S154" s="431" t="e">
        <f>#REF!+#REF!+#REF!+#REF!+#REF!+#REF!+#REF!+#REF!+#REF!+#REF!+#REF!+#REF!+#REF!+#REF!+#REF!+#REF!+#REF!+#REF!+#REF!+S147+#REF!+#REF!+#REF!+#REF!+#REF!+#REF!+#REF!</f>
        <v>#REF!</v>
      </c>
      <c r="T154" s="431" t="e">
        <f>#REF!+#REF!+#REF!+#REF!+#REF!+#REF!+#REF!+#REF!+#REF!+#REF!+#REF!+#REF!+#REF!+#REF!+#REF!+#REF!+#REF!+#REF!+#REF!+T147+#REF!+#REF!+#REF!+#REF!+#REF!+#REF!+#REF!</f>
        <v>#REF!</v>
      </c>
      <c r="U154" s="388" t="e">
        <f>IF(S154=0,0,T154*100/S154)</f>
        <v>#REF!</v>
      </c>
    </row>
    <row r="155" ht="16.5" customHeight="1">
      <c r="R155" s="443"/>
    </row>
    <row r="156" spans="2:19" ht="19.5" customHeight="1">
      <c r="B156" s="444"/>
      <c r="C156" s="444"/>
      <c r="D156" s="444"/>
      <c r="E156" s="444"/>
      <c r="F156" s="444"/>
      <c r="G156" s="444"/>
      <c r="H156" s="444"/>
      <c r="I156" s="444"/>
      <c r="J156" s="444"/>
      <c r="K156" s="444"/>
      <c r="L156" s="444"/>
      <c r="M156" s="445"/>
      <c r="N156" s="444"/>
      <c r="O156" s="444"/>
      <c r="P156" s="444"/>
      <c r="Q156" s="444"/>
      <c r="R156" s="444"/>
      <c r="S156" s="444"/>
    </row>
    <row r="157" spans="2:20" ht="34.5" customHeight="1">
      <c r="B157" s="460" t="s">
        <v>289</v>
      </c>
      <c r="C157" s="460"/>
      <c r="D157" s="460"/>
      <c r="E157" s="460"/>
      <c r="F157" s="460"/>
      <c r="G157" s="460"/>
      <c r="H157" s="460"/>
      <c r="I157" s="446"/>
      <c r="J157" s="436"/>
      <c r="K157" s="447"/>
      <c r="L157" s="436"/>
      <c r="M157" s="446"/>
      <c r="N157" s="447"/>
      <c r="O157" s="436"/>
      <c r="P157" s="448"/>
      <c r="Q157" s="449"/>
      <c r="R157" s="446"/>
      <c r="S157" s="446"/>
      <c r="T157" s="440"/>
    </row>
  </sheetData>
  <sheetProtection autoFilter="0"/>
  <mergeCells count="143">
    <mergeCell ref="R9:R15"/>
    <mergeCell ref="A148:A154"/>
    <mergeCell ref="B148:B154"/>
    <mergeCell ref="C148:C154"/>
    <mergeCell ref="D148:D154"/>
    <mergeCell ref="E148:E154"/>
    <mergeCell ref="R148:R154"/>
    <mergeCell ref="D141:D147"/>
    <mergeCell ref="E141:E147"/>
    <mergeCell ref="R141:R147"/>
    <mergeCell ref="A6:A8"/>
    <mergeCell ref="A134:A140"/>
    <mergeCell ref="R134:R140"/>
    <mergeCell ref="A9:A15"/>
    <mergeCell ref="B9:B15"/>
    <mergeCell ref="C9:C15"/>
    <mergeCell ref="D9:D15"/>
    <mergeCell ref="C16:C22"/>
    <mergeCell ref="B134:B140"/>
    <mergeCell ref="B23:B29"/>
    <mergeCell ref="A141:A147"/>
    <mergeCell ref="B141:B147"/>
    <mergeCell ref="D6:D8"/>
    <mergeCell ref="E6:E8"/>
    <mergeCell ref="D16:D22"/>
    <mergeCell ref="E16:E22"/>
    <mergeCell ref="B6:B8"/>
    <mergeCell ref="C6:C8"/>
    <mergeCell ref="E9:E15"/>
    <mergeCell ref="A23:A29"/>
    <mergeCell ref="S6:U7"/>
    <mergeCell ref="M6:O7"/>
    <mergeCell ref="R16:R22"/>
    <mergeCell ref="F6:F8"/>
    <mergeCell ref="R6:R8"/>
    <mergeCell ref="I6:I8"/>
    <mergeCell ref="H6:H8"/>
    <mergeCell ref="Q6:Q8"/>
    <mergeCell ref="J6:L7"/>
    <mergeCell ref="G6:G8"/>
    <mergeCell ref="C23:C29"/>
    <mergeCell ref="D23:D29"/>
    <mergeCell ref="E23:E29"/>
    <mergeCell ref="R23:R29"/>
    <mergeCell ref="A16:A22"/>
    <mergeCell ref="B16:B22"/>
    <mergeCell ref="D37:D43"/>
    <mergeCell ref="E37:E43"/>
    <mergeCell ref="R37:R43"/>
    <mergeCell ref="A30:A36"/>
    <mergeCell ref="B30:B36"/>
    <mergeCell ref="C30:C36"/>
    <mergeCell ref="D30:D36"/>
    <mergeCell ref="E30:E36"/>
    <mergeCell ref="R30:R36"/>
    <mergeCell ref="A37:A43"/>
    <mergeCell ref="A44:A50"/>
    <mergeCell ref="B44:B50"/>
    <mergeCell ref="C44:C50"/>
    <mergeCell ref="D44:D50"/>
    <mergeCell ref="E44:E50"/>
    <mergeCell ref="R44:R50"/>
    <mergeCell ref="B37:B43"/>
    <mergeCell ref="C37:C43"/>
    <mergeCell ref="R58:R64"/>
    <mergeCell ref="A51:A57"/>
    <mergeCell ref="B51:B57"/>
    <mergeCell ref="C51:C57"/>
    <mergeCell ref="D51:D57"/>
    <mergeCell ref="E51:E57"/>
    <mergeCell ref="R51:R57"/>
    <mergeCell ref="A58:A64"/>
    <mergeCell ref="B58:B64"/>
    <mergeCell ref="C58:C64"/>
    <mergeCell ref="D58:D64"/>
    <mergeCell ref="E58:E64"/>
    <mergeCell ref="A65:A71"/>
    <mergeCell ref="C72:C78"/>
    <mergeCell ref="D72:D78"/>
    <mergeCell ref="E72:E78"/>
    <mergeCell ref="A72:A78"/>
    <mergeCell ref="R72:R78"/>
    <mergeCell ref="C65:C71"/>
    <mergeCell ref="D65:D71"/>
    <mergeCell ref="E65:E71"/>
    <mergeCell ref="R65:R71"/>
    <mergeCell ref="B65:B71"/>
    <mergeCell ref="B72:B78"/>
    <mergeCell ref="R86:R92"/>
    <mergeCell ref="A79:A85"/>
    <mergeCell ref="B79:B85"/>
    <mergeCell ref="C79:C85"/>
    <mergeCell ref="D79:D85"/>
    <mergeCell ref="E79:E85"/>
    <mergeCell ref="R79:R85"/>
    <mergeCell ref="A86:A92"/>
    <mergeCell ref="B86:B92"/>
    <mergeCell ref="C86:C92"/>
    <mergeCell ref="D86:D92"/>
    <mergeCell ref="E86:E92"/>
    <mergeCell ref="A93:A99"/>
    <mergeCell ref="C100:C105"/>
    <mergeCell ref="D100:D105"/>
    <mergeCell ref="E100:E105"/>
    <mergeCell ref="A100:A105"/>
    <mergeCell ref="C93:C99"/>
    <mergeCell ref="D93:D99"/>
    <mergeCell ref="E93:E99"/>
    <mergeCell ref="R93:R99"/>
    <mergeCell ref="B93:B99"/>
    <mergeCell ref="B100:B105"/>
    <mergeCell ref="A106:A112"/>
    <mergeCell ref="B106:B112"/>
    <mergeCell ref="C106:C112"/>
    <mergeCell ref="D106:D112"/>
    <mergeCell ref="E106:E112"/>
    <mergeCell ref="R106:R112"/>
    <mergeCell ref="A113:A119"/>
    <mergeCell ref="B113:B119"/>
    <mergeCell ref="C113:C119"/>
    <mergeCell ref="D113:D119"/>
    <mergeCell ref="E113:E119"/>
    <mergeCell ref="R113:R119"/>
    <mergeCell ref="A127:A133"/>
    <mergeCell ref="A120:A126"/>
    <mergeCell ref="B120:B126"/>
    <mergeCell ref="C120:C126"/>
    <mergeCell ref="D120:D126"/>
    <mergeCell ref="E120:E126"/>
    <mergeCell ref="B127:B133"/>
    <mergeCell ref="D127:D133"/>
    <mergeCell ref="E127:E133"/>
    <mergeCell ref="C127:C133"/>
    <mergeCell ref="B1:R1"/>
    <mergeCell ref="B2:R2"/>
    <mergeCell ref="B157:H157"/>
    <mergeCell ref="C134:C140"/>
    <mergeCell ref="D134:D140"/>
    <mergeCell ref="E134:E140"/>
    <mergeCell ref="R127:R133"/>
    <mergeCell ref="C141:C147"/>
    <mergeCell ref="R120:R126"/>
    <mergeCell ref="R100:R105"/>
  </mergeCells>
  <hyperlinks>
    <hyperlink ref="R4" r:id="rId1" display="Решение Думы района от 15.10.2014 №561"/>
    <hyperlink ref="R5" r:id="rId2" display="План мероприятий («дорожная карта») по реализации Стратегии социально-экономического развития Нижневартовского района до 2020 года и на период до 2030 года"/>
  </hyperlinks>
  <printOptions/>
  <pageMargins left="0.7874015748031497" right="0" top="0" bottom="0" header="0" footer="0.31496062992125984"/>
  <pageSetup fitToHeight="0" fitToWidth="1" horizontalDpi="600" verticalDpi="600" orientation="landscape" paperSize="9" scale="55" r:id="rId3"/>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Y260"/>
  <sheetViews>
    <sheetView zoomScalePageLayoutView="0" workbookViewId="0" topLeftCell="A1">
      <selection activeCell="F29" sqref="F29"/>
    </sheetView>
  </sheetViews>
  <sheetFormatPr defaultColWidth="9.140625" defaultRowHeight="15"/>
  <cols>
    <col min="1" max="1" width="4.7109375" style="61" customWidth="1"/>
    <col min="2" max="2" width="32.7109375" style="61" customWidth="1"/>
    <col min="3" max="3" width="19.28125" style="61" customWidth="1"/>
    <col min="4" max="4" width="18.57421875" style="61" customWidth="1"/>
    <col min="5" max="5" width="28.7109375" style="61" customWidth="1"/>
    <col min="6" max="6" width="25.421875" style="61" customWidth="1"/>
    <col min="7" max="7" width="23.28125" style="61" customWidth="1"/>
    <col min="8" max="8" width="15.421875" style="12" customWidth="1"/>
    <col min="9" max="9" width="8.140625" style="62" bestFit="1" customWidth="1"/>
    <col min="10" max="10" width="8.57421875" style="63" hidden="1" customWidth="1"/>
    <col min="11" max="11" width="14.28125" style="12" customWidth="1"/>
    <col min="12" max="12" width="8.421875" style="82" customWidth="1"/>
    <col min="13" max="13" width="86.421875" style="65" customWidth="1"/>
    <col min="14" max="14" width="12.57421875" style="11" bestFit="1" customWidth="1"/>
    <col min="15" max="15" width="18.421875" style="12" customWidth="1"/>
    <col min="16" max="16" width="13.00390625" style="12" customWidth="1"/>
    <col min="17" max="25" width="9.140625" style="12" customWidth="1"/>
    <col min="26" max="16384" width="9.140625" style="13" customWidth="1"/>
  </cols>
  <sheetData>
    <row r="1" spans="1:13" ht="12.75">
      <c r="A1" s="6" t="s">
        <v>97</v>
      </c>
      <c r="B1" s="7"/>
      <c r="C1" s="7"/>
      <c r="D1" s="7"/>
      <c r="E1" s="7"/>
      <c r="F1" s="7"/>
      <c r="G1" s="7"/>
      <c r="H1" s="8"/>
      <c r="I1" s="9"/>
      <c r="J1" s="9"/>
      <c r="K1" s="8"/>
      <c r="L1" s="78"/>
      <c r="M1" s="10"/>
    </row>
    <row r="2" spans="1:13" ht="12.75" customHeight="1">
      <c r="A2" s="504" t="s">
        <v>39</v>
      </c>
      <c r="B2" s="504" t="s">
        <v>50</v>
      </c>
      <c r="C2" s="517" t="s">
        <v>0</v>
      </c>
      <c r="D2" s="504" t="s">
        <v>49</v>
      </c>
      <c r="E2" s="504" t="s">
        <v>28</v>
      </c>
      <c r="F2" s="548" t="s">
        <v>124</v>
      </c>
      <c r="G2" s="548" t="s">
        <v>113</v>
      </c>
      <c r="H2" s="511" t="s">
        <v>153</v>
      </c>
      <c r="I2" s="512"/>
      <c r="J2" s="513"/>
      <c r="K2" s="554" t="s">
        <v>132</v>
      </c>
      <c r="L2" s="555"/>
      <c r="M2" s="556" t="s">
        <v>133</v>
      </c>
    </row>
    <row r="3" spans="1:25" ht="12.75">
      <c r="A3" s="504"/>
      <c r="B3" s="504"/>
      <c r="C3" s="518"/>
      <c r="D3" s="504"/>
      <c r="E3" s="504"/>
      <c r="F3" s="549"/>
      <c r="G3" s="549"/>
      <c r="H3" s="514"/>
      <c r="I3" s="515"/>
      <c r="J3" s="516"/>
      <c r="K3" s="554"/>
      <c r="L3" s="555"/>
      <c r="M3" s="557"/>
      <c r="N3" s="14"/>
      <c r="O3" s="13"/>
      <c r="P3" s="13"/>
      <c r="Q3" s="13"/>
      <c r="R3" s="13"/>
      <c r="S3" s="13"/>
      <c r="T3" s="13"/>
      <c r="U3" s="13"/>
      <c r="V3" s="13"/>
      <c r="W3" s="13"/>
      <c r="X3" s="13"/>
      <c r="Y3" s="13"/>
    </row>
    <row r="4" spans="1:25" ht="75" customHeight="1">
      <c r="A4" s="504"/>
      <c r="B4" s="504"/>
      <c r="C4" s="519"/>
      <c r="D4" s="504"/>
      <c r="E4" s="504"/>
      <c r="F4" s="550"/>
      <c r="G4" s="550"/>
      <c r="H4" s="15" t="s">
        <v>40</v>
      </c>
      <c r="I4" s="15" t="s">
        <v>2</v>
      </c>
      <c r="J4" s="16" t="s">
        <v>82</v>
      </c>
      <c r="K4" s="15" t="s">
        <v>40</v>
      </c>
      <c r="L4" s="79" t="s">
        <v>82</v>
      </c>
      <c r="M4" s="558"/>
      <c r="N4" s="14"/>
      <c r="O4" s="13"/>
      <c r="P4" s="13"/>
      <c r="Q4" s="13"/>
      <c r="R4" s="13"/>
      <c r="S4" s="13"/>
      <c r="T4" s="13"/>
      <c r="U4" s="13"/>
      <c r="V4" s="13"/>
      <c r="W4" s="13"/>
      <c r="X4" s="13"/>
      <c r="Y4" s="13"/>
    </row>
    <row r="5" spans="1:15" ht="12.75">
      <c r="A5" s="548"/>
      <c r="B5" s="504" t="s">
        <v>83</v>
      </c>
      <c r="C5" s="504"/>
      <c r="D5" s="504"/>
      <c r="E5" s="17" t="s">
        <v>5</v>
      </c>
      <c r="F5" s="18" t="e">
        <f>ИТОГ!#REF!</f>
        <v>#REF!</v>
      </c>
      <c r="G5" s="18" t="e">
        <f>ИТОГ!#REF!</f>
        <v>#REF!</v>
      </c>
      <c r="H5" s="18" t="e">
        <f>ИТОГ!#REF!</f>
        <v>#REF!</v>
      </c>
      <c r="I5" s="18" t="e">
        <f>ИТОГ!#REF!</f>
        <v>#REF!</v>
      </c>
      <c r="J5" s="18" t="e">
        <f>ИТОГ!#REF!</f>
        <v>#REF!</v>
      </c>
      <c r="K5" s="18" t="e">
        <f>K194</f>
        <v>#REF!</v>
      </c>
      <c r="L5" s="69" t="e">
        <f>K5*100/F5</f>
        <v>#REF!</v>
      </c>
      <c r="M5" s="19"/>
      <c r="O5" s="38"/>
    </row>
    <row r="6" spans="1:15" ht="12.75">
      <c r="A6" s="521"/>
      <c r="B6" s="507"/>
      <c r="C6" s="507"/>
      <c r="D6" s="507"/>
      <c r="E6" s="20" t="s">
        <v>29</v>
      </c>
      <c r="F6" s="21"/>
      <c r="G6" s="21"/>
      <c r="H6" s="21"/>
      <c r="I6" s="21"/>
      <c r="J6" s="22"/>
      <c r="K6" s="21"/>
      <c r="L6" s="69"/>
      <c r="M6" s="23"/>
      <c r="O6" s="38"/>
    </row>
    <row r="7" spans="1:15" ht="12.75">
      <c r="A7" s="521"/>
      <c r="B7" s="507"/>
      <c r="C7" s="507"/>
      <c r="D7" s="507"/>
      <c r="E7" s="24" t="s">
        <v>27</v>
      </c>
      <c r="F7" s="25" t="e">
        <f>ИТОГ!#REF!</f>
        <v>#REF!</v>
      </c>
      <c r="G7" s="25" t="e">
        <f>ИТОГ!#REF!</f>
        <v>#REF!</v>
      </c>
      <c r="H7" s="25" t="e">
        <f>ИТОГ!#REF!</f>
        <v>#REF!</v>
      </c>
      <c r="I7" s="25" t="e">
        <f>ИТОГ!#REF!</f>
        <v>#REF!</v>
      </c>
      <c r="J7" s="25" t="e">
        <f>ИТОГ!#REF!</f>
        <v>#REF!</v>
      </c>
      <c r="K7" s="25">
        <f>K196</f>
        <v>5846061.9072</v>
      </c>
      <c r="L7" s="70" t="e">
        <f aca="true" t="shared" si="0" ref="L7:L12">K7*100/F7</f>
        <v>#REF!</v>
      </c>
      <c r="M7" s="23"/>
      <c r="O7" s="38"/>
    </row>
    <row r="8" spans="1:15" ht="25.5">
      <c r="A8" s="521"/>
      <c r="B8" s="507"/>
      <c r="C8" s="507"/>
      <c r="D8" s="507"/>
      <c r="E8" s="26" t="s">
        <v>30</v>
      </c>
      <c r="F8" s="25" t="e">
        <f>ИТОГ!#REF!</f>
        <v>#REF!</v>
      </c>
      <c r="G8" s="25" t="e">
        <f>ИТОГ!#REF!</f>
        <v>#REF!</v>
      </c>
      <c r="H8" s="25" t="e">
        <f>ИТОГ!#REF!</f>
        <v>#REF!</v>
      </c>
      <c r="I8" s="25" t="e">
        <f>ИТОГ!#REF!</f>
        <v>#REF!</v>
      </c>
      <c r="J8" s="25" t="e">
        <f>ИТОГ!#REF!</f>
        <v>#REF!</v>
      </c>
      <c r="K8" s="25">
        <f>K197</f>
        <v>172143706.89999998</v>
      </c>
      <c r="L8" s="70" t="e">
        <f t="shared" si="0"/>
        <v>#REF!</v>
      </c>
      <c r="M8" s="23"/>
      <c r="O8" s="38"/>
    </row>
    <row r="9" spans="1:15" ht="25.5">
      <c r="A9" s="521"/>
      <c r="B9" s="507"/>
      <c r="C9" s="507"/>
      <c r="D9" s="507"/>
      <c r="E9" s="27" t="s">
        <v>38</v>
      </c>
      <c r="F9" s="25" t="e">
        <f>ИТОГ!#REF!</f>
        <v>#REF!</v>
      </c>
      <c r="G9" s="25" t="e">
        <f>ИТОГ!#REF!</f>
        <v>#REF!</v>
      </c>
      <c r="H9" s="25" t="e">
        <f>ИТОГ!#REF!</f>
        <v>#REF!</v>
      </c>
      <c r="I9" s="25" t="e">
        <f>ИТОГ!#REF!</f>
        <v>#REF!</v>
      </c>
      <c r="J9" s="25" t="e">
        <f>ИТОГ!#REF!</f>
        <v>#REF!</v>
      </c>
      <c r="K9" s="25">
        <f>K198</f>
        <v>3025178.1685</v>
      </c>
      <c r="L9" s="70" t="e">
        <f t="shared" si="0"/>
        <v>#REF!</v>
      </c>
      <c r="M9" s="23"/>
      <c r="O9" s="38"/>
    </row>
    <row r="10" spans="1:15" ht="25.5">
      <c r="A10" s="521"/>
      <c r="B10" s="507"/>
      <c r="C10" s="507"/>
      <c r="D10" s="507"/>
      <c r="E10" s="27" t="s">
        <v>23</v>
      </c>
      <c r="F10" s="25" t="e">
        <f>ИТОГ!#REF!</f>
        <v>#REF!</v>
      </c>
      <c r="G10" s="25" t="e">
        <f>ИТОГ!#REF!</f>
        <v>#REF!</v>
      </c>
      <c r="H10" s="25" t="e">
        <f>ИТОГ!#REF!</f>
        <v>#REF!</v>
      </c>
      <c r="I10" s="25" t="e">
        <f>ИТОГ!#REF!</f>
        <v>#REF!</v>
      </c>
      <c r="J10" s="25" t="e">
        <f>ИТОГ!#REF!</f>
        <v>#REF!</v>
      </c>
      <c r="K10" s="25">
        <f>K199</f>
        <v>8932012.4</v>
      </c>
      <c r="L10" s="70" t="e">
        <f>K10*100/F10</f>
        <v>#REF!</v>
      </c>
      <c r="M10" s="23"/>
      <c r="O10" s="38"/>
    </row>
    <row r="11" spans="1:15" ht="12.75">
      <c r="A11" s="522"/>
      <c r="B11" s="507"/>
      <c r="C11" s="507"/>
      <c r="D11" s="507"/>
      <c r="E11" s="27" t="s">
        <v>44</v>
      </c>
      <c r="F11" s="25" t="e">
        <f>ИТОГ!#REF!</f>
        <v>#REF!</v>
      </c>
      <c r="G11" s="25" t="e">
        <f>ИТОГ!#REF!</f>
        <v>#REF!</v>
      </c>
      <c r="H11" s="25" t="e">
        <f>ИТОГ!#REF!</f>
        <v>#REF!</v>
      </c>
      <c r="I11" s="25" t="e">
        <f>ИТОГ!#REF!</f>
        <v>#REF!</v>
      </c>
      <c r="J11" s="25" t="e">
        <f>ИТОГ!#REF!</f>
        <v>#REF!</v>
      </c>
      <c r="K11" s="25" t="e">
        <f>K200</f>
        <v>#REF!</v>
      </c>
      <c r="L11" s="70" t="e">
        <f t="shared" si="0"/>
        <v>#REF!</v>
      </c>
      <c r="M11" s="28"/>
      <c r="O11" s="38"/>
    </row>
    <row r="12" spans="1:15" ht="12.75">
      <c r="A12" s="519">
        <v>1</v>
      </c>
      <c r="B12" s="522" t="s">
        <v>51</v>
      </c>
      <c r="C12" s="519" t="s">
        <v>114</v>
      </c>
      <c r="D12" s="519" t="s">
        <v>6</v>
      </c>
      <c r="E12" s="29" t="s">
        <v>26</v>
      </c>
      <c r="F12" s="30">
        <f>ИТОГ!G9</f>
        <v>1869750.8800000001</v>
      </c>
      <c r="G12" s="30">
        <f>ИТОГ!H9</f>
        <v>66397262.2</v>
      </c>
      <c r="H12" s="18" t="e">
        <f>ИТОГ!J9</f>
        <v>#REF!</v>
      </c>
      <c r="I12" s="31" t="e">
        <f>ИТОГ!L9</f>
        <v>#REF!</v>
      </c>
      <c r="J12" s="31" t="e">
        <f>ИТОГ!K9</f>
        <v>#REF!</v>
      </c>
      <c r="K12" s="18" t="e">
        <f>ИТОГ!P9</f>
        <v>#REF!</v>
      </c>
      <c r="L12" s="71" t="e">
        <f t="shared" si="0"/>
        <v>#REF!</v>
      </c>
      <c r="M12" s="551" t="s">
        <v>184</v>
      </c>
      <c r="O12" s="38"/>
    </row>
    <row r="13" spans="1:15" ht="12.75">
      <c r="A13" s="503"/>
      <c r="B13" s="507" t="e">
        <v>#REF!</v>
      </c>
      <c r="C13" s="503"/>
      <c r="D13" s="505"/>
      <c r="E13" s="20" t="s">
        <v>29</v>
      </c>
      <c r="F13" s="86"/>
      <c r="G13" s="86"/>
      <c r="H13" s="86"/>
      <c r="I13" s="86"/>
      <c r="J13" s="87"/>
      <c r="K13" s="86"/>
      <c r="L13" s="88"/>
      <c r="M13" s="552"/>
      <c r="O13" s="38"/>
    </row>
    <row r="14" spans="1:15" ht="25.5">
      <c r="A14" s="503"/>
      <c r="B14" s="507"/>
      <c r="C14" s="503"/>
      <c r="D14" s="505"/>
      <c r="E14" s="3" t="s">
        <v>75</v>
      </c>
      <c r="F14" s="95">
        <f>ИТОГ!G15</f>
        <v>47841</v>
      </c>
      <c r="G14" s="35">
        <f>ИТОГ!H15</f>
        <v>25621404.3</v>
      </c>
      <c r="H14" s="25">
        <f>ИТОГ!J15</f>
        <v>23470908.2</v>
      </c>
      <c r="I14" s="35">
        <f>ИТОГ!L15</f>
        <v>91.60664234161435</v>
      </c>
      <c r="J14" s="35">
        <f>ИТОГ!K15</f>
        <v>49060.23745323049</v>
      </c>
      <c r="K14" s="25">
        <f>ИТОГ!P15</f>
        <v>25621404.3</v>
      </c>
      <c r="L14" s="96">
        <f aca="true" t="shared" si="1" ref="L14:L22">K14*100/F14</f>
        <v>53555.32764783345</v>
      </c>
      <c r="M14" s="552"/>
      <c r="O14" s="38"/>
    </row>
    <row r="15" spans="1:15" ht="12.75">
      <c r="A15" s="503"/>
      <c r="B15" s="507"/>
      <c r="C15" s="503"/>
      <c r="D15" s="503"/>
      <c r="E15" s="34" t="s">
        <v>27</v>
      </c>
      <c r="F15" s="35">
        <f>ИТОГ!G11</f>
        <v>0</v>
      </c>
      <c r="G15" s="35">
        <f>ИТОГ!H11</f>
        <v>1914406.6</v>
      </c>
      <c r="H15" s="25">
        <f>ИТОГ!J11</f>
        <v>1818903.7</v>
      </c>
      <c r="I15" s="35">
        <f>ИТОГ!L11</f>
        <v>95.01135756636025</v>
      </c>
      <c r="J15" s="35" t="e">
        <f>ИТОГ!K11</f>
        <v>#DIV/0!</v>
      </c>
      <c r="K15" s="92">
        <v>1878709.98</v>
      </c>
      <c r="L15" s="72" t="e">
        <f t="shared" si="1"/>
        <v>#DIV/0!</v>
      </c>
      <c r="M15" s="552"/>
      <c r="O15" s="38"/>
    </row>
    <row r="16" spans="1:15" ht="25.5">
      <c r="A16" s="503"/>
      <c r="B16" s="507" t="s">
        <v>43</v>
      </c>
      <c r="C16" s="503"/>
      <c r="D16" s="503"/>
      <c r="E16" s="37" t="s">
        <v>30</v>
      </c>
      <c r="F16" s="35">
        <f>ИТОГ!G12</f>
        <v>1333790.8</v>
      </c>
      <c r="G16" s="35">
        <f>ИТОГ!H12</f>
        <v>49671895</v>
      </c>
      <c r="H16" s="25">
        <f>ИТОГ!J12</f>
        <v>45117924.4</v>
      </c>
      <c r="I16" s="35">
        <f>ИТОГ!L12</f>
        <v>90.83189678992517</v>
      </c>
      <c r="J16" s="35">
        <f>ИТОГ!K12</f>
        <v>3382.683731211821</v>
      </c>
      <c r="K16" s="1">
        <f>44526852.13-23500-69074.6</f>
        <v>44434277.53</v>
      </c>
      <c r="L16" s="72">
        <f t="shared" si="1"/>
        <v>3331.427801871178</v>
      </c>
      <c r="M16" s="552"/>
      <c r="O16" s="38"/>
    </row>
    <row r="17" spans="1:15" ht="63.75">
      <c r="A17" s="503"/>
      <c r="B17" s="507"/>
      <c r="C17" s="503"/>
      <c r="D17" s="503"/>
      <c r="E17" s="34" t="s">
        <v>125</v>
      </c>
      <c r="F17" s="33" t="e">
        <f>ИТОГ!#REF!</f>
        <v>#REF!</v>
      </c>
      <c r="G17" s="33" t="e">
        <f>ИТОГ!#REF!</f>
        <v>#REF!</v>
      </c>
      <c r="H17" s="25" t="e">
        <f>ИТОГ!#REF!</f>
        <v>#REF!</v>
      </c>
      <c r="I17" s="35" t="e">
        <f>ИТОГ!#REF!</f>
        <v>#REF!</v>
      </c>
      <c r="J17" s="35" t="e">
        <f>ИТОГ!#REF!</f>
        <v>#REF!</v>
      </c>
      <c r="K17" s="93">
        <v>40000</v>
      </c>
      <c r="L17" s="72" t="e">
        <f t="shared" si="1"/>
        <v>#REF!</v>
      </c>
      <c r="M17" s="552"/>
      <c r="O17" s="38"/>
    </row>
    <row r="18" spans="1:15" ht="25.5">
      <c r="A18" s="503"/>
      <c r="B18" s="507"/>
      <c r="C18" s="503"/>
      <c r="D18" s="503"/>
      <c r="E18" s="26" t="s">
        <v>38</v>
      </c>
      <c r="F18" s="33" t="e">
        <f>ИТОГ!#REF!</f>
        <v>#REF!</v>
      </c>
      <c r="G18" s="35" t="e">
        <f>ИТОГ!#REF!</f>
        <v>#REF!</v>
      </c>
      <c r="H18" s="25" t="e">
        <f>ИТОГ!#REF!</f>
        <v>#REF!</v>
      </c>
      <c r="I18" s="35" t="e">
        <f>ИТОГ!#REF!</f>
        <v>#REF!</v>
      </c>
      <c r="J18" s="35" t="e">
        <f>ИТОГ!#REF!</f>
        <v>#REF!</v>
      </c>
      <c r="K18" s="93">
        <v>88847.7</v>
      </c>
      <c r="L18" s="72" t="e">
        <f t="shared" si="1"/>
        <v>#REF!</v>
      </c>
      <c r="M18" s="552"/>
      <c r="O18" s="38"/>
    </row>
    <row r="19" spans="1:15" ht="25.5">
      <c r="A19" s="503"/>
      <c r="B19" s="507">
        <v>0</v>
      </c>
      <c r="C19" s="503"/>
      <c r="D19" s="503"/>
      <c r="E19" s="26" t="s">
        <v>23</v>
      </c>
      <c r="F19" s="33" t="e">
        <f>ИТОГ!#REF!</f>
        <v>#REF!</v>
      </c>
      <c r="G19" s="35" t="e">
        <f>ИТОГ!#REF!</f>
        <v>#REF!</v>
      </c>
      <c r="H19" s="25" t="e">
        <f>ИТОГ!#REF!</f>
        <v>#REF!</v>
      </c>
      <c r="I19" s="35" t="e">
        <f>ИТОГ!#REF!</f>
        <v>#REF!</v>
      </c>
      <c r="J19" s="35" t="e">
        <f>ИТОГ!#REF!</f>
        <v>#REF!</v>
      </c>
      <c r="K19" s="93">
        <v>88848.7</v>
      </c>
      <c r="L19" s="72" t="e">
        <f t="shared" si="1"/>
        <v>#REF!</v>
      </c>
      <c r="M19" s="552"/>
      <c r="O19" s="38"/>
    </row>
    <row r="20" spans="1:15" ht="63.75">
      <c r="A20" s="503"/>
      <c r="B20" s="507"/>
      <c r="C20" s="503"/>
      <c r="D20" s="503"/>
      <c r="E20" s="94" t="s">
        <v>125</v>
      </c>
      <c r="F20" s="33" t="e">
        <f>ИТОГ!#REF!</f>
        <v>#REF!</v>
      </c>
      <c r="G20" s="35" t="e">
        <f>ИТОГ!#REF!</f>
        <v>#REF!</v>
      </c>
      <c r="H20" s="25" t="e">
        <f>ИТОГ!#REF!</f>
        <v>#REF!</v>
      </c>
      <c r="I20" s="35" t="e">
        <f>ИТОГ!#REF!</f>
        <v>#REF!</v>
      </c>
      <c r="J20" s="35" t="e">
        <f>ИТОГ!#REF!</f>
        <v>#REF!</v>
      </c>
      <c r="K20" s="93">
        <v>88849.7</v>
      </c>
      <c r="L20" s="72" t="e">
        <f t="shared" si="1"/>
        <v>#REF!</v>
      </c>
      <c r="M20" s="552"/>
      <c r="O20" s="38"/>
    </row>
    <row r="21" spans="1:15" ht="25.5">
      <c r="A21" s="503"/>
      <c r="B21" s="507">
        <v>0</v>
      </c>
      <c r="C21" s="503"/>
      <c r="D21" s="503"/>
      <c r="E21" s="26" t="s">
        <v>75</v>
      </c>
      <c r="F21" s="33" t="e">
        <f>ИТОГ!#REF!</f>
        <v>#REF!</v>
      </c>
      <c r="G21" s="35" t="e">
        <f>ИТОГ!#REF!</f>
        <v>#REF!</v>
      </c>
      <c r="H21" s="25" t="e">
        <f>ИТОГ!#REF!</f>
        <v>#REF!</v>
      </c>
      <c r="I21" s="35" t="e">
        <f>ИТОГ!#REF!</f>
        <v>#REF!</v>
      </c>
      <c r="J21" s="35" t="e">
        <f>ИТОГ!#REF!</f>
        <v>#REF!</v>
      </c>
      <c r="K21" s="93">
        <v>88850.7</v>
      </c>
      <c r="L21" s="72" t="e">
        <f t="shared" si="1"/>
        <v>#REF!</v>
      </c>
      <c r="M21" s="553"/>
      <c r="O21" s="38"/>
    </row>
    <row r="22" spans="1:25" s="42" customFormat="1" ht="12.75">
      <c r="A22" s="541">
        <v>2</v>
      </c>
      <c r="B22" s="542" t="s">
        <v>52</v>
      </c>
      <c r="C22" s="541" t="s">
        <v>140</v>
      </c>
      <c r="D22" s="541" t="s">
        <v>32</v>
      </c>
      <c r="E22" s="39" t="s">
        <v>26</v>
      </c>
      <c r="F22" s="30">
        <f>ИТОГ!G16</f>
        <v>36408.99</v>
      </c>
      <c r="G22" s="30">
        <f>ИТОГ!H16</f>
        <v>52583540</v>
      </c>
      <c r="H22" s="18">
        <f>ИТОГ!J16</f>
        <v>41804798.74999999</v>
      </c>
      <c r="I22" s="31">
        <f>ИТОГ!L16</f>
        <v>257.387267225247</v>
      </c>
      <c r="J22" s="31" t="e">
        <f>ИТОГ!K16</f>
        <v>#DIV/0!</v>
      </c>
      <c r="K22" s="40">
        <f>K24+K25+K26+K27+K28</f>
        <v>56503339.57</v>
      </c>
      <c r="L22" s="71">
        <f t="shared" si="1"/>
        <v>155190.62618875175</v>
      </c>
      <c r="M22" s="545" t="s">
        <v>157</v>
      </c>
      <c r="N22" s="11"/>
      <c r="O22" s="38"/>
      <c r="P22" s="41"/>
      <c r="Q22" s="41"/>
      <c r="R22" s="41"/>
      <c r="S22" s="41"/>
      <c r="T22" s="41"/>
      <c r="U22" s="41"/>
      <c r="V22" s="41"/>
      <c r="W22" s="41"/>
      <c r="X22" s="41"/>
      <c r="Y22" s="41"/>
    </row>
    <row r="23" spans="1:25" s="42" customFormat="1" ht="12.75">
      <c r="A23" s="541"/>
      <c r="B23" s="542">
        <v>0</v>
      </c>
      <c r="C23" s="543"/>
      <c r="D23" s="544"/>
      <c r="E23" s="20" t="s">
        <v>29</v>
      </c>
      <c r="F23" s="86"/>
      <c r="G23" s="86"/>
      <c r="H23" s="86"/>
      <c r="I23" s="86"/>
      <c r="J23" s="87"/>
      <c r="K23" s="86"/>
      <c r="L23" s="88"/>
      <c r="M23" s="546"/>
      <c r="N23" s="11"/>
      <c r="O23" s="38"/>
      <c r="P23" s="41"/>
      <c r="Q23" s="41"/>
      <c r="R23" s="41"/>
      <c r="S23" s="41"/>
      <c r="T23" s="41"/>
      <c r="U23" s="41"/>
      <c r="V23" s="41"/>
      <c r="W23" s="41"/>
      <c r="X23" s="41"/>
      <c r="Y23" s="41"/>
    </row>
    <row r="24" spans="1:25" s="42" customFormat="1" ht="12.75">
      <c r="A24" s="541"/>
      <c r="B24" s="542"/>
      <c r="C24" s="543"/>
      <c r="D24" s="541"/>
      <c r="E24" s="43" t="s">
        <v>27</v>
      </c>
      <c r="F24" s="33">
        <f>ИТОГ!G18</f>
        <v>0</v>
      </c>
      <c r="G24" s="33">
        <f>ИТОГ!H18</f>
        <v>589274.5</v>
      </c>
      <c r="H24" s="25">
        <f>ИТОГ!J18</f>
        <v>318927.9</v>
      </c>
      <c r="I24" s="35">
        <f>ИТОГ!L18</f>
        <v>54.12212814231738</v>
      </c>
      <c r="J24" s="35" t="e">
        <f>ИТОГ!K18</f>
        <v>#DIV/0!</v>
      </c>
      <c r="K24" s="44">
        <v>601983.2</v>
      </c>
      <c r="L24" s="72" t="e">
        <f aca="true" t="shared" si="2" ref="L24:L29">K24*100/F24</f>
        <v>#DIV/0!</v>
      </c>
      <c r="M24" s="546"/>
      <c r="N24" s="11"/>
      <c r="O24" s="38"/>
      <c r="P24" s="41"/>
      <c r="Q24" s="41"/>
      <c r="R24" s="41"/>
      <c r="S24" s="41"/>
      <c r="T24" s="41"/>
      <c r="U24" s="41"/>
      <c r="V24" s="41"/>
      <c r="W24" s="41"/>
      <c r="X24" s="41"/>
      <c r="Y24" s="41"/>
    </row>
    <row r="25" spans="1:25" s="42" customFormat="1" ht="25.5">
      <c r="A25" s="541"/>
      <c r="B25" s="542">
        <v>0</v>
      </c>
      <c r="C25" s="543"/>
      <c r="D25" s="541"/>
      <c r="E25" s="45" t="s">
        <v>30</v>
      </c>
      <c r="F25" s="35">
        <f>ИТОГ!G19</f>
        <v>3457.98</v>
      </c>
      <c r="G25" s="33">
        <f>ИТОГ!H19</f>
        <v>49884363.6</v>
      </c>
      <c r="H25" s="25">
        <f>ИТОГ!J19</f>
        <v>40121840.8</v>
      </c>
      <c r="I25" s="35">
        <f>ИТОГ!L19</f>
        <v>80.42969360443037</v>
      </c>
      <c r="J25" s="35">
        <f>ИТОГ!K19</f>
        <v>1160268.156553826</v>
      </c>
      <c r="K25" s="46">
        <v>47238817.669999994</v>
      </c>
      <c r="L25" s="72">
        <f t="shared" si="2"/>
        <v>1366081.2864736058</v>
      </c>
      <c r="M25" s="546"/>
      <c r="N25" s="11"/>
      <c r="O25" s="38"/>
      <c r="P25" s="41"/>
      <c r="Q25" s="41"/>
      <c r="R25" s="41"/>
      <c r="S25" s="41"/>
      <c r="T25" s="41"/>
      <c r="U25" s="41"/>
      <c r="V25" s="41"/>
      <c r="W25" s="41"/>
      <c r="X25" s="41"/>
      <c r="Y25" s="41"/>
    </row>
    <row r="26" spans="1:25" s="42" customFormat="1" ht="25.5">
      <c r="A26" s="541"/>
      <c r="B26" s="542">
        <v>0</v>
      </c>
      <c r="C26" s="543"/>
      <c r="D26" s="541"/>
      <c r="E26" s="45" t="s">
        <v>38</v>
      </c>
      <c r="F26" s="33">
        <f>ИТОГ!G21</f>
        <v>0</v>
      </c>
      <c r="G26" s="33">
        <f>ИТОГ!H21</f>
        <v>325003.5</v>
      </c>
      <c r="H26" s="25">
        <f>ИТОГ!J21</f>
        <v>184432.25</v>
      </c>
      <c r="I26" s="35">
        <f>ИТОГ!L21</f>
        <v>56.74777348551631</v>
      </c>
      <c r="J26" s="35" t="e">
        <f>ИТОГ!K21</f>
        <v>#DIV/0!</v>
      </c>
      <c r="K26" s="46">
        <v>307126.9</v>
      </c>
      <c r="L26" s="72" t="e">
        <f t="shared" si="2"/>
        <v>#DIV/0!</v>
      </c>
      <c r="M26" s="546"/>
      <c r="N26" s="11"/>
      <c r="O26" s="38"/>
      <c r="P26" s="41"/>
      <c r="Q26" s="41"/>
      <c r="R26" s="41"/>
      <c r="S26" s="41"/>
      <c r="T26" s="41"/>
      <c r="U26" s="41"/>
      <c r="V26" s="41"/>
      <c r="W26" s="41"/>
      <c r="X26" s="41"/>
      <c r="Y26" s="41"/>
    </row>
    <row r="27" spans="1:25" s="42" customFormat="1" ht="25.5">
      <c r="A27" s="541"/>
      <c r="B27" s="542"/>
      <c r="C27" s="543"/>
      <c r="D27" s="541"/>
      <c r="E27" s="45" t="s">
        <v>23</v>
      </c>
      <c r="F27" s="33">
        <f>ИТОГ!G22</f>
        <v>240</v>
      </c>
      <c r="G27" s="33">
        <f>ИТОГ!H22</f>
        <v>1784898.4</v>
      </c>
      <c r="H27" s="25">
        <f>ИТОГ!J22</f>
        <v>1179597.8</v>
      </c>
      <c r="I27" s="35">
        <f>ИТОГ!L22</f>
        <v>66.0876719929829</v>
      </c>
      <c r="J27" s="35">
        <f>ИТОГ!K22</f>
        <v>491499.0833333333</v>
      </c>
      <c r="K27" s="46">
        <v>1566255.6</v>
      </c>
      <c r="L27" s="72">
        <f t="shared" si="2"/>
        <v>652606.5</v>
      </c>
      <c r="M27" s="546"/>
      <c r="N27" s="11"/>
      <c r="O27" s="38"/>
      <c r="P27" s="41"/>
      <c r="Q27" s="41"/>
      <c r="R27" s="41"/>
      <c r="S27" s="41"/>
      <c r="T27" s="41"/>
      <c r="U27" s="41"/>
      <c r="V27" s="41"/>
      <c r="W27" s="41"/>
      <c r="X27" s="41"/>
      <c r="Y27" s="41"/>
    </row>
    <row r="28" spans="1:25" s="42" customFormat="1" ht="12.75">
      <c r="A28" s="541"/>
      <c r="B28" s="542">
        <v>0</v>
      </c>
      <c r="C28" s="543"/>
      <c r="D28" s="541"/>
      <c r="E28" s="45" t="s">
        <v>44</v>
      </c>
      <c r="F28" s="33" t="e">
        <f>ИТОГ!#REF!</f>
        <v>#REF!</v>
      </c>
      <c r="G28" s="33" t="e">
        <f>ИТОГ!#REF!</f>
        <v>#REF!</v>
      </c>
      <c r="H28" s="25" t="e">
        <f>ИТОГ!#REF!</f>
        <v>#REF!</v>
      </c>
      <c r="I28" s="35" t="e">
        <f>ИТОГ!#REF!</f>
        <v>#REF!</v>
      </c>
      <c r="J28" s="35" t="e">
        <f>ИТОГ!#REF!</f>
        <v>#REF!</v>
      </c>
      <c r="K28" s="46">
        <v>6789156.2</v>
      </c>
      <c r="L28" s="72" t="e">
        <f t="shared" si="2"/>
        <v>#REF!</v>
      </c>
      <c r="M28" s="547"/>
      <c r="N28" s="11"/>
      <c r="O28" s="38"/>
      <c r="P28" s="41"/>
      <c r="Q28" s="41"/>
      <c r="R28" s="41"/>
      <c r="S28" s="41"/>
      <c r="T28" s="41"/>
      <c r="U28" s="41"/>
      <c r="V28" s="41"/>
      <c r="W28" s="41"/>
      <c r="X28" s="41"/>
      <c r="Y28" s="41"/>
    </row>
    <row r="29" spans="1:15" ht="12.75">
      <c r="A29" s="503">
        <v>3</v>
      </c>
      <c r="B29" s="507" t="s">
        <v>53</v>
      </c>
      <c r="C29" s="517" t="s">
        <v>141</v>
      </c>
      <c r="D29" s="503" t="s">
        <v>24</v>
      </c>
      <c r="E29" s="47" t="s">
        <v>26</v>
      </c>
      <c r="F29" s="30">
        <f>ИТОГ!G23</f>
        <v>24784.92</v>
      </c>
      <c r="G29" s="30">
        <f>ИТОГ!H23</f>
        <v>26186521.6</v>
      </c>
      <c r="H29" s="18">
        <f>ИТОГ!J23</f>
        <v>21368685.722000003</v>
      </c>
      <c r="I29" s="31">
        <f>ИТОГ!L23</f>
        <v>81.60184864720637</v>
      </c>
      <c r="J29" s="31">
        <f>ИТОГ!K23</f>
        <v>86216.48051315076</v>
      </c>
      <c r="K29" s="32">
        <f>SUM(K31:K35)</f>
        <v>25435126.095700003</v>
      </c>
      <c r="L29" s="71">
        <f t="shared" si="2"/>
        <v>102623.3939657663</v>
      </c>
      <c r="M29" s="524" t="s">
        <v>163</v>
      </c>
      <c r="O29" s="38"/>
    </row>
    <row r="30" spans="1:15" ht="12.75">
      <c r="A30" s="503"/>
      <c r="B30" s="507"/>
      <c r="C30" s="518"/>
      <c r="D30" s="505"/>
      <c r="E30" s="20" t="s">
        <v>29</v>
      </c>
      <c r="F30" s="86"/>
      <c r="G30" s="86"/>
      <c r="H30" s="86"/>
      <c r="I30" s="86"/>
      <c r="J30" s="87"/>
      <c r="K30" s="86"/>
      <c r="L30" s="88"/>
      <c r="M30" s="525"/>
      <c r="O30" s="38"/>
    </row>
    <row r="31" spans="1:15" ht="12.75">
      <c r="A31" s="503"/>
      <c r="B31" s="507"/>
      <c r="C31" s="518"/>
      <c r="D31" s="503"/>
      <c r="E31" s="34" t="s">
        <v>27</v>
      </c>
      <c r="F31" s="35">
        <f>ИТОГ!G25</f>
        <v>0</v>
      </c>
      <c r="G31" s="35">
        <f>ИТОГ!H25</f>
        <v>1880566.8</v>
      </c>
      <c r="H31" s="25">
        <f>ИТОГ!J25</f>
        <v>1655532</v>
      </c>
      <c r="I31" s="35">
        <f>ИТОГ!L25</f>
        <v>88.03367155051339</v>
      </c>
      <c r="J31" s="35" t="e">
        <f>ИТОГ!K25</f>
        <v>#DIV/0!</v>
      </c>
      <c r="K31" s="36">
        <v>1794060.7272</v>
      </c>
      <c r="L31" s="72" t="e">
        <f aca="true" t="shared" si="3" ref="L31:L36">K31*100/F31</f>
        <v>#DIV/0!</v>
      </c>
      <c r="M31" s="525"/>
      <c r="O31" s="38"/>
    </row>
    <row r="32" spans="1:15" ht="25.5">
      <c r="A32" s="503"/>
      <c r="B32" s="507"/>
      <c r="C32" s="518"/>
      <c r="D32" s="503"/>
      <c r="E32" s="26" t="s">
        <v>30</v>
      </c>
      <c r="F32" s="35">
        <f>ИТОГ!G26</f>
        <v>0</v>
      </c>
      <c r="G32" s="35">
        <f>ИТОГ!H26</f>
        <v>23852945.5</v>
      </c>
      <c r="H32" s="25">
        <f>ИТОГ!J26</f>
        <v>19388516.3</v>
      </c>
      <c r="I32" s="35">
        <f>ИТОГ!L26</f>
        <v>81.28353079077802</v>
      </c>
      <c r="J32" s="35" t="e">
        <f>ИТОГ!K26</f>
        <v>#DIV/0!</v>
      </c>
      <c r="K32" s="75">
        <v>23198413</v>
      </c>
      <c r="L32" s="72" t="e">
        <f t="shared" si="3"/>
        <v>#DIV/0!</v>
      </c>
      <c r="M32" s="525"/>
      <c r="O32" s="38"/>
    </row>
    <row r="33" spans="1:15" ht="25.5">
      <c r="A33" s="503"/>
      <c r="B33" s="507"/>
      <c r="C33" s="518"/>
      <c r="D33" s="503"/>
      <c r="E33" s="26" t="s">
        <v>38</v>
      </c>
      <c r="F33" s="33">
        <f>ИТОГ!G28</f>
        <v>0</v>
      </c>
      <c r="G33" s="35">
        <f>ИТОГ!H28</f>
        <v>88131.5</v>
      </c>
      <c r="H33" s="25">
        <f>ИТОГ!J28</f>
        <v>81449.62199999999</v>
      </c>
      <c r="I33" s="35">
        <f>ИТОГ!L28</f>
        <v>92.41828631079693</v>
      </c>
      <c r="J33" s="35" t="e">
        <f>ИТОГ!K28</f>
        <v>#DIV/0!</v>
      </c>
      <c r="K33" s="2">
        <v>88043.36850000001</v>
      </c>
      <c r="L33" s="72" t="e">
        <f t="shared" si="3"/>
        <v>#DIV/0!</v>
      </c>
      <c r="M33" s="525"/>
      <c r="O33" s="38"/>
    </row>
    <row r="34" spans="1:15" ht="29.25" customHeight="1">
      <c r="A34" s="503"/>
      <c r="B34" s="507"/>
      <c r="C34" s="518"/>
      <c r="D34" s="503"/>
      <c r="E34" s="26" t="s">
        <v>23</v>
      </c>
      <c r="F34" s="33">
        <f>ИТОГ!G29</f>
        <v>0</v>
      </c>
      <c r="G34" s="35">
        <f>ИТОГ!H29</f>
        <v>342628.3</v>
      </c>
      <c r="H34" s="25">
        <f>ИТОГ!J29</f>
        <v>243187.8</v>
      </c>
      <c r="I34" s="35">
        <f>ИТОГ!L29</f>
        <v>70.9771492897697</v>
      </c>
      <c r="J34" s="35" t="e">
        <f>ИТОГ!K29</f>
        <v>#DIV/0!</v>
      </c>
      <c r="K34" s="2">
        <v>336645.3</v>
      </c>
      <c r="L34" s="72" t="e">
        <f t="shared" si="3"/>
        <v>#DIV/0!</v>
      </c>
      <c r="M34" s="525"/>
      <c r="O34" s="38"/>
    </row>
    <row r="35" spans="1:15" ht="34.5" customHeight="1">
      <c r="A35" s="503"/>
      <c r="B35" s="507"/>
      <c r="C35" s="519"/>
      <c r="D35" s="503"/>
      <c r="E35" s="26" t="s">
        <v>44</v>
      </c>
      <c r="F35" s="33" t="e">
        <f>ИТОГ!#REF!</f>
        <v>#REF!</v>
      </c>
      <c r="G35" s="35" t="e">
        <f>ИТОГ!#REF!</f>
        <v>#REF!</v>
      </c>
      <c r="H35" s="25" t="e">
        <f>ИТОГ!#REF!</f>
        <v>#REF!</v>
      </c>
      <c r="I35" s="35" t="e">
        <f>ИТОГ!#REF!</f>
        <v>#REF!</v>
      </c>
      <c r="J35" s="35" t="e">
        <f>ИТОГ!#REF!</f>
        <v>#REF!</v>
      </c>
      <c r="K35" s="2">
        <v>17963.699999999997</v>
      </c>
      <c r="L35" s="72" t="e">
        <f t="shared" si="3"/>
        <v>#REF!</v>
      </c>
      <c r="M35" s="526"/>
      <c r="O35" s="38"/>
    </row>
    <row r="36" spans="1:15" ht="12.75">
      <c r="A36" s="503">
        <v>4</v>
      </c>
      <c r="B36" s="507" t="s">
        <v>102</v>
      </c>
      <c r="C36" s="503" t="s">
        <v>126</v>
      </c>
      <c r="D36" s="503" t="s">
        <v>7</v>
      </c>
      <c r="E36" s="47" t="s">
        <v>26</v>
      </c>
      <c r="F36" s="30">
        <f>ИТОГ!G30</f>
        <v>4349.47</v>
      </c>
      <c r="G36" s="30">
        <f>ИТОГ!H30</f>
        <v>293028.6</v>
      </c>
      <c r="H36" s="18">
        <f>ИТОГ!J30</f>
        <v>175964</v>
      </c>
      <c r="I36" s="31">
        <f>ИТОГ!L30</f>
        <v>60.05011114956015</v>
      </c>
      <c r="J36" s="31">
        <f>ИТОГ!K30</f>
        <v>4045.6423426302513</v>
      </c>
      <c r="K36" s="32">
        <f>SUM(K38:K42)</f>
        <v>285828.4</v>
      </c>
      <c r="L36" s="71">
        <f t="shared" si="3"/>
        <v>6571.568489953949</v>
      </c>
      <c r="M36" s="524" t="s">
        <v>158</v>
      </c>
      <c r="O36" s="38"/>
    </row>
    <row r="37" spans="1:15" ht="12.75">
      <c r="A37" s="503"/>
      <c r="B37" s="507">
        <v>0</v>
      </c>
      <c r="C37" s="503"/>
      <c r="D37" s="505"/>
      <c r="E37" s="20" t="s">
        <v>29</v>
      </c>
      <c r="F37" s="86"/>
      <c r="G37" s="86"/>
      <c r="H37" s="86"/>
      <c r="I37" s="86"/>
      <c r="J37" s="87"/>
      <c r="K37" s="86"/>
      <c r="L37" s="88"/>
      <c r="M37" s="525"/>
      <c r="O37" s="38"/>
    </row>
    <row r="38" spans="1:15" ht="12.75">
      <c r="A38" s="503"/>
      <c r="B38" s="507"/>
      <c r="C38" s="503"/>
      <c r="D38" s="503"/>
      <c r="E38" s="34" t="s">
        <v>27</v>
      </c>
      <c r="F38" s="33">
        <f>ИТОГ!G32</f>
        <v>0</v>
      </c>
      <c r="G38" s="33">
        <f>ИТОГ!H32</f>
        <v>69692.6</v>
      </c>
      <c r="H38" s="25">
        <f>ИТОГ!J32</f>
        <v>36473.9</v>
      </c>
      <c r="I38" s="35">
        <f>ИТОГ!L32</f>
        <v>52.33539859325093</v>
      </c>
      <c r="J38" s="35" t="e">
        <f>ИТОГ!K32</f>
        <v>#DIV/0!</v>
      </c>
      <c r="K38" s="36">
        <v>62492.4</v>
      </c>
      <c r="L38" s="72" t="e">
        <f>K38*100/F38</f>
        <v>#DIV/0!</v>
      </c>
      <c r="M38" s="525"/>
      <c r="O38" s="38"/>
    </row>
    <row r="39" spans="1:15" ht="25.5">
      <c r="A39" s="503"/>
      <c r="B39" s="507">
        <v>0</v>
      </c>
      <c r="C39" s="503"/>
      <c r="D39" s="503"/>
      <c r="E39" s="26" t="s">
        <v>30</v>
      </c>
      <c r="F39" s="33">
        <f>ИТОГ!G33</f>
        <v>0</v>
      </c>
      <c r="G39" s="33">
        <f>ИТОГ!H33</f>
        <v>223336</v>
      </c>
      <c r="H39" s="25">
        <f>ИТОГ!J33</f>
        <v>139490.1</v>
      </c>
      <c r="I39" s="35">
        <f>ИТОГ!L33</f>
        <v>62.45750797005409</v>
      </c>
      <c r="J39" s="35" t="e">
        <f>ИТОГ!K33</f>
        <v>#DIV/0!</v>
      </c>
      <c r="K39" s="2">
        <v>223336</v>
      </c>
      <c r="L39" s="72" t="e">
        <f>K39*100/F39</f>
        <v>#DIV/0!</v>
      </c>
      <c r="M39" s="525"/>
      <c r="O39" s="38"/>
    </row>
    <row r="40" spans="1:17" ht="25.5">
      <c r="A40" s="503"/>
      <c r="B40" s="507">
        <v>0</v>
      </c>
      <c r="C40" s="503"/>
      <c r="D40" s="503"/>
      <c r="E40" s="26" t="s">
        <v>38</v>
      </c>
      <c r="F40" s="33">
        <f>ИТОГ!G35</f>
        <v>0</v>
      </c>
      <c r="G40" s="35">
        <f>ИТОГ!H35</f>
        <v>0</v>
      </c>
      <c r="H40" s="25">
        <f>ИТОГ!J35</f>
        <v>0</v>
      </c>
      <c r="I40" s="35">
        <f>ИТОГ!L35</f>
        <v>0</v>
      </c>
      <c r="J40" s="35">
        <f>ИТОГ!K35</f>
        <v>0</v>
      </c>
      <c r="K40" s="2">
        <v>0</v>
      </c>
      <c r="L40" s="80">
        <v>0</v>
      </c>
      <c r="M40" s="525"/>
      <c r="O40" s="38"/>
      <c r="P40" s="38"/>
      <c r="Q40" s="38"/>
    </row>
    <row r="41" spans="1:15" ht="25.5">
      <c r="A41" s="503"/>
      <c r="B41" s="507"/>
      <c r="C41" s="503"/>
      <c r="D41" s="503"/>
      <c r="E41" s="26" t="s">
        <v>23</v>
      </c>
      <c r="F41" s="33">
        <f>ИТОГ!G36</f>
        <v>0</v>
      </c>
      <c r="G41" s="35">
        <f>ИТОГ!H36</f>
        <v>0</v>
      </c>
      <c r="H41" s="25">
        <f>ИТОГ!J36</f>
        <v>0</v>
      </c>
      <c r="I41" s="35">
        <f>ИТОГ!L36</f>
        <v>0</v>
      </c>
      <c r="J41" s="35">
        <f>ИТОГ!K36</f>
        <v>0</v>
      </c>
      <c r="K41" s="2">
        <v>0</v>
      </c>
      <c r="L41" s="80">
        <v>0</v>
      </c>
      <c r="M41" s="525"/>
      <c r="O41" s="38"/>
    </row>
    <row r="42" spans="1:15" ht="23.25" customHeight="1">
      <c r="A42" s="503"/>
      <c r="B42" s="507">
        <v>0</v>
      </c>
      <c r="C42" s="503"/>
      <c r="D42" s="503"/>
      <c r="E42" s="26" t="s">
        <v>44</v>
      </c>
      <c r="F42" s="33" t="e">
        <f>ИТОГ!#REF!</f>
        <v>#REF!</v>
      </c>
      <c r="G42" s="35" t="e">
        <f>ИТОГ!#REF!</f>
        <v>#REF!</v>
      </c>
      <c r="H42" s="25" t="e">
        <f>ИТОГ!#REF!</f>
        <v>#REF!</v>
      </c>
      <c r="I42" s="35" t="e">
        <f>ИТОГ!#REF!</f>
        <v>#REF!</v>
      </c>
      <c r="J42" s="35" t="e">
        <f>ИТОГ!#REF!</f>
        <v>#REF!</v>
      </c>
      <c r="K42" s="2">
        <v>0</v>
      </c>
      <c r="L42" s="80">
        <v>0</v>
      </c>
      <c r="M42" s="526"/>
      <c r="O42" s="38"/>
    </row>
    <row r="43" spans="1:15" ht="12.75">
      <c r="A43" s="503">
        <v>5</v>
      </c>
      <c r="B43" s="507" t="s">
        <v>61</v>
      </c>
      <c r="C43" s="503" t="s">
        <v>111</v>
      </c>
      <c r="D43" s="503" t="s">
        <v>8</v>
      </c>
      <c r="E43" s="47" t="s">
        <v>26</v>
      </c>
      <c r="F43" s="30">
        <f>ИТОГ!G37</f>
        <v>308664.22</v>
      </c>
      <c r="G43" s="30">
        <f>ИТОГ!H37</f>
        <v>2712967.5000000005</v>
      </c>
      <c r="H43" s="18">
        <f>ИТОГ!J37</f>
        <v>1925251.5000000002</v>
      </c>
      <c r="I43" s="31">
        <f>ИТОГ!L37</f>
        <v>96.44270436240049</v>
      </c>
      <c r="J43" s="31" t="e">
        <f>ИТОГ!K37</f>
        <v>#DIV/0!</v>
      </c>
      <c r="K43" s="77">
        <f>SUM(K45:K49)</f>
        <v>3832960.8000000003</v>
      </c>
      <c r="L43" s="71">
        <f>K43*100/F43</f>
        <v>1241.7897999321076</v>
      </c>
      <c r="M43" s="524" t="s">
        <v>164</v>
      </c>
      <c r="O43" s="38"/>
    </row>
    <row r="44" spans="1:15" ht="12.75">
      <c r="A44" s="503"/>
      <c r="B44" s="507"/>
      <c r="C44" s="503"/>
      <c r="D44" s="505"/>
      <c r="E44" s="20" t="s">
        <v>29</v>
      </c>
      <c r="F44" s="86"/>
      <c r="G44" s="86"/>
      <c r="H44" s="86"/>
      <c r="I44" s="86"/>
      <c r="J44" s="87"/>
      <c r="K44" s="86"/>
      <c r="L44" s="88"/>
      <c r="M44" s="525"/>
      <c r="O44" s="38"/>
    </row>
    <row r="45" spans="1:15" ht="12.75">
      <c r="A45" s="503"/>
      <c r="B45" s="507"/>
      <c r="C45" s="503"/>
      <c r="D45" s="503"/>
      <c r="E45" s="34" t="s">
        <v>27</v>
      </c>
      <c r="F45" s="33">
        <f>ИТОГ!G39</f>
        <v>0</v>
      </c>
      <c r="G45" s="35">
        <f>ИТОГ!H39</f>
        <v>13022.7</v>
      </c>
      <c r="H45" s="25">
        <f>ИТОГ!J39</f>
        <v>622.6</v>
      </c>
      <c r="I45" s="35">
        <f>ИТОГ!L39</f>
        <v>4.7808826126686474</v>
      </c>
      <c r="J45" s="35" t="e">
        <f>ИТОГ!K39</f>
        <v>#DIV/0!</v>
      </c>
      <c r="K45" s="48">
        <v>13022.7</v>
      </c>
      <c r="L45" s="72" t="e">
        <f>K45*100/F45</f>
        <v>#DIV/0!</v>
      </c>
      <c r="M45" s="525"/>
      <c r="O45" s="38"/>
    </row>
    <row r="46" spans="1:15" ht="25.5">
      <c r="A46" s="503"/>
      <c r="B46" s="507"/>
      <c r="C46" s="503"/>
      <c r="D46" s="503"/>
      <c r="E46" s="26" t="s">
        <v>30</v>
      </c>
      <c r="F46" s="33">
        <f>ИТОГ!G40</f>
        <v>26715.42</v>
      </c>
      <c r="G46" s="35">
        <f>ИТОГ!H40</f>
        <v>2438950.6</v>
      </c>
      <c r="H46" s="25">
        <f>ИТОГ!J40</f>
        <v>1898957.6</v>
      </c>
      <c r="I46" s="35">
        <f>ИТОГ!L40</f>
        <v>77.8596171648577</v>
      </c>
      <c r="J46" s="35">
        <f>ИТОГ!K40</f>
        <v>7108.095624175103</v>
      </c>
      <c r="K46" s="49">
        <v>2398000</v>
      </c>
      <c r="L46" s="72">
        <f>K46*100/F46</f>
        <v>8976.089464436644</v>
      </c>
      <c r="M46" s="525"/>
      <c r="O46" s="38"/>
    </row>
    <row r="47" spans="1:15" ht="25.5">
      <c r="A47" s="503"/>
      <c r="B47" s="507"/>
      <c r="C47" s="503"/>
      <c r="D47" s="503"/>
      <c r="E47" s="26" t="s">
        <v>38</v>
      </c>
      <c r="F47" s="33">
        <f>ИТОГ!G42</f>
        <v>0</v>
      </c>
      <c r="G47" s="35">
        <f>ИТОГ!H42</f>
        <v>185994.2</v>
      </c>
      <c r="H47" s="25">
        <f>ИТОГ!J42</f>
        <v>25671.3</v>
      </c>
      <c r="I47" s="35">
        <f>ИТОГ!L42</f>
        <v>13.80220458487415</v>
      </c>
      <c r="J47" s="35" t="e">
        <f>ИТОГ!K42</f>
        <v>#DIV/0!</v>
      </c>
      <c r="K47" s="49">
        <v>156265.1</v>
      </c>
      <c r="L47" s="72" t="e">
        <f>K47*100/F47</f>
        <v>#DIV/0!</v>
      </c>
      <c r="M47" s="525"/>
      <c r="O47" s="38"/>
    </row>
    <row r="48" spans="1:15" ht="25.5">
      <c r="A48" s="503"/>
      <c r="B48" s="507"/>
      <c r="C48" s="503"/>
      <c r="D48" s="503"/>
      <c r="E48" s="26" t="s">
        <v>23</v>
      </c>
      <c r="F48" s="33" t="e">
        <f>ИТОГ!#REF!</f>
        <v>#REF!</v>
      </c>
      <c r="G48" s="35" t="e">
        <f>ИТОГ!#REF!</f>
        <v>#REF!</v>
      </c>
      <c r="H48" s="25" t="e">
        <f>ИТОГ!#REF!</f>
        <v>#REF!</v>
      </c>
      <c r="I48" s="35" t="e">
        <f>ИТОГ!#REF!</f>
        <v>#REF!</v>
      </c>
      <c r="J48" s="35" t="e">
        <f>ИТОГ!#REF!</f>
        <v>#REF!</v>
      </c>
      <c r="K48" s="49">
        <v>0</v>
      </c>
      <c r="L48" s="80">
        <v>0</v>
      </c>
      <c r="M48" s="525"/>
      <c r="O48" s="38"/>
    </row>
    <row r="49" spans="1:15" ht="90" customHeight="1">
      <c r="A49" s="503"/>
      <c r="B49" s="507"/>
      <c r="C49" s="503"/>
      <c r="D49" s="503"/>
      <c r="E49" s="26" t="s">
        <v>44</v>
      </c>
      <c r="F49" s="33" t="e">
        <f>ИТОГ!#REF!</f>
        <v>#REF!</v>
      </c>
      <c r="G49" s="35" t="e">
        <f>ИТОГ!#REF!</f>
        <v>#REF!</v>
      </c>
      <c r="H49" s="25" t="e">
        <f>ИТОГ!#REF!</f>
        <v>#REF!</v>
      </c>
      <c r="I49" s="35" t="e">
        <f>ИТОГ!#REF!</f>
        <v>#REF!</v>
      </c>
      <c r="J49" s="35" t="e">
        <f>ИТОГ!#REF!</f>
        <v>#REF!</v>
      </c>
      <c r="K49" s="49">
        <v>1265673</v>
      </c>
      <c r="L49" s="72" t="e">
        <f>K49*100/F49</f>
        <v>#REF!</v>
      </c>
      <c r="M49" s="526"/>
      <c r="O49" s="38"/>
    </row>
    <row r="50" spans="1:15" ht="12.75">
      <c r="A50" s="503">
        <v>6</v>
      </c>
      <c r="B50" s="507" t="s">
        <v>62</v>
      </c>
      <c r="C50" s="503" t="s">
        <v>142</v>
      </c>
      <c r="D50" s="503" t="s">
        <v>34</v>
      </c>
      <c r="E50" s="47" t="s">
        <v>26</v>
      </c>
      <c r="F50" s="30">
        <f>ИТОГ!G44</f>
        <v>344128.5</v>
      </c>
      <c r="G50" s="30">
        <f>ИТОГ!H44</f>
        <v>6050462.761</v>
      </c>
      <c r="H50" s="18">
        <f>ИТОГ!J44</f>
        <v>4360577.4</v>
      </c>
      <c r="I50" s="31">
        <f>ИТОГ!L44</f>
        <v>198.6663958880371</v>
      </c>
      <c r="J50" s="31" t="e">
        <f>ИТОГ!K44</f>
        <v>#DIV/0!</v>
      </c>
      <c r="K50" s="32">
        <f>SUM(K52:K57)</f>
        <v>5653253.600000001</v>
      </c>
      <c r="L50" s="71">
        <f>K50*100/F50</f>
        <v>1642.774021913326</v>
      </c>
      <c r="M50" s="524" t="s">
        <v>159</v>
      </c>
      <c r="O50" s="38"/>
    </row>
    <row r="51" spans="1:15" ht="12.75">
      <c r="A51" s="503"/>
      <c r="B51" s="507">
        <v>0</v>
      </c>
      <c r="C51" s="503"/>
      <c r="D51" s="505"/>
      <c r="E51" s="20" t="s">
        <v>29</v>
      </c>
      <c r="F51" s="86"/>
      <c r="G51" s="86"/>
      <c r="H51" s="86"/>
      <c r="I51" s="86"/>
      <c r="J51" s="87"/>
      <c r="K51" s="86"/>
      <c r="L51" s="88"/>
      <c r="M51" s="525"/>
      <c r="O51" s="38"/>
    </row>
    <row r="52" spans="1:15" ht="12.75">
      <c r="A52" s="503"/>
      <c r="B52" s="507"/>
      <c r="C52" s="503"/>
      <c r="D52" s="503"/>
      <c r="E52" s="34" t="s">
        <v>27</v>
      </c>
      <c r="F52" s="33">
        <f>ИТОГ!G46</f>
        <v>0</v>
      </c>
      <c r="G52" s="35">
        <f>ИТОГ!H46</f>
        <v>6976.461</v>
      </c>
      <c r="H52" s="25">
        <f>ИТОГ!J46</f>
        <v>6976.5</v>
      </c>
      <c r="I52" s="35">
        <f>ИТОГ!L46</f>
        <v>100.00055902269072</v>
      </c>
      <c r="J52" s="35" t="e">
        <f>ИТОГ!K46</f>
        <v>#DIV/0!</v>
      </c>
      <c r="K52" s="36">
        <v>6976.5</v>
      </c>
      <c r="L52" s="72" t="e">
        <f aca="true" t="shared" si="4" ref="L52:L58">K52*100/F52</f>
        <v>#DIV/0!</v>
      </c>
      <c r="M52" s="525"/>
      <c r="O52" s="38"/>
    </row>
    <row r="53" spans="1:15" ht="25.5">
      <c r="A53" s="503"/>
      <c r="B53" s="507">
        <v>0</v>
      </c>
      <c r="C53" s="503"/>
      <c r="D53" s="503"/>
      <c r="E53" s="26" t="s">
        <v>30</v>
      </c>
      <c r="F53" s="33">
        <f>ИТОГ!G47</f>
        <v>4514</v>
      </c>
      <c r="G53" s="35">
        <f>ИТОГ!H47</f>
        <v>5070080.3</v>
      </c>
      <c r="H53" s="25">
        <f>ИТОГ!J47</f>
        <v>4278462.2</v>
      </c>
      <c r="I53" s="35">
        <f>ИТОГ!L47</f>
        <v>84.3864780603179</v>
      </c>
      <c r="J53" s="35">
        <f>ИТОГ!K47</f>
        <v>94782.0602569783</v>
      </c>
      <c r="K53" s="2">
        <v>5034030.7</v>
      </c>
      <c r="L53" s="72">
        <f t="shared" si="4"/>
        <v>111520.39654408507</v>
      </c>
      <c r="M53" s="525"/>
      <c r="O53" s="38"/>
    </row>
    <row r="54" spans="1:15" ht="25.5">
      <c r="A54" s="503"/>
      <c r="B54" s="507">
        <v>0</v>
      </c>
      <c r="C54" s="503"/>
      <c r="D54" s="503"/>
      <c r="E54" s="26" t="s">
        <v>38</v>
      </c>
      <c r="F54" s="33">
        <f>ИТОГ!G49</f>
        <v>0</v>
      </c>
      <c r="G54" s="35">
        <f>ИТОГ!H49</f>
        <v>526205</v>
      </c>
      <c r="H54" s="25">
        <f>ИТОГ!J49</f>
        <v>75138.7</v>
      </c>
      <c r="I54" s="35">
        <f>ИТОГ!L49</f>
        <v>14.279358805028458</v>
      </c>
      <c r="J54" s="35" t="e">
        <f>ИТОГ!K49</f>
        <v>#DIV/0!</v>
      </c>
      <c r="K54" s="2">
        <v>79004</v>
      </c>
      <c r="L54" s="72" t="e">
        <f t="shared" si="4"/>
        <v>#DIV/0!</v>
      </c>
      <c r="M54" s="525"/>
      <c r="O54" s="38"/>
    </row>
    <row r="55" spans="1:15" ht="12.75">
      <c r="A55" s="503"/>
      <c r="B55" s="507"/>
      <c r="C55" s="503"/>
      <c r="D55" s="503"/>
      <c r="E55" s="94"/>
      <c r="F55" s="33">
        <f>ИТОГ!G50</f>
        <v>8979</v>
      </c>
      <c r="G55" s="35">
        <f>ИТОГ!H50</f>
        <v>447201</v>
      </c>
      <c r="H55" s="25">
        <f>ИТОГ!J50</f>
        <v>0</v>
      </c>
      <c r="I55" s="35">
        <f>ИТОГ!L50</f>
        <v>0</v>
      </c>
      <c r="J55" s="35"/>
      <c r="K55" s="2">
        <v>0</v>
      </c>
      <c r="L55" s="72">
        <v>0</v>
      </c>
      <c r="M55" s="525"/>
      <c r="O55" s="38"/>
    </row>
    <row r="56" spans="1:15" ht="25.5">
      <c r="A56" s="503"/>
      <c r="B56" s="507"/>
      <c r="C56" s="503"/>
      <c r="D56" s="503"/>
      <c r="E56" s="26" t="s">
        <v>23</v>
      </c>
      <c r="F56" s="33" t="e">
        <f>ИТОГ!#REF!</f>
        <v>#REF!</v>
      </c>
      <c r="G56" s="35" t="e">
        <f>ИТОГ!#REF!</f>
        <v>#REF!</v>
      </c>
      <c r="H56" s="25" t="e">
        <f>ИТОГ!#REF!</f>
        <v>#REF!</v>
      </c>
      <c r="I56" s="35" t="e">
        <f>ИТОГ!#REF!</f>
        <v>#REF!</v>
      </c>
      <c r="J56" s="35" t="e">
        <f>ИТОГ!#REF!</f>
        <v>#REF!</v>
      </c>
      <c r="K56" s="2">
        <v>86041.4</v>
      </c>
      <c r="L56" s="72" t="e">
        <f t="shared" si="4"/>
        <v>#REF!</v>
      </c>
      <c r="M56" s="525"/>
      <c r="O56" s="38"/>
    </row>
    <row r="57" spans="1:15" ht="12.75">
      <c r="A57" s="503"/>
      <c r="B57" s="507">
        <v>0</v>
      </c>
      <c r="C57" s="503"/>
      <c r="D57" s="503"/>
      <c r="E57" s="26" t="s">
        <v>44</v>
      </c>
      <c r="F57" s="33" t="e">
        <f>ИТОГ!#REF!</f>
        <v>#REF!</v>
      </c>
      <c r="G57" s="35" t="e">
        <f>ИТОГ!#REF!</f>
        <v>#REF!</v>
      </c>
      <c r="H57" s="25" t="e">
        <f>ИТОГ!#REF!</f>
        <v>#REF!</v>
      </c>
      <c r="I57" s="35" t="e">
        <f>ИТОГ!#REF!</f>
        <v>#REF!</v>
      </c>
      <c r="J57" s="35" t="e">
        <f>ИТОГ!#REF!</f>
        <v>#REF!</v>
      </c>
      <c r="K57" s="2">
        <v>447201</v>
      </c>
      <c r="L57" s="72" t="e">
        <f t="shared" si="4"/>
        <v>#REF!</v>
      </c>
      <c r="M57" s="526"/>
      <c r="O57" s="38"/>
    </row>
    <row r="58" spans="1:16" ht="12.75">
      <c r="A58" s="503">
        <v>7</v>
      </c>
      <c r="B58" s="527" t="s">
        <v>76</v>
      </c>
      <c r="C58" s="462" t="s">
        <v>106</v>
      </c>
      <c r="D58" s="503" t="s">
        <v>10</v>
      </c>
      <c r="E58" s="47" t="s">
        <v>26</v>
      </c>
      <c r="F58" s="30">
        <f>ИТОГ!G51</f>
        <v>111775.45999999999</v>
      </c>
      <c r="G58" s="30">
        <f>ИТОГ!H51</f>
        <v>2043595.3</v>
      </c>
      <c r="H58" s="18" t="e">
        <f>ИТОГ!J51</f>
        <v>#REF!</v>
      </c>
      <c r="I58" s="31" t="e">
        <f>ИТОГ!L51</f>
        <v>#REF!</v>
      </c>
      <c r="J58" s="31" t="e">
        <f>ИТОГ!K51</f>
        <v>#REF!</v>
      </c>
      <c r="K58" s="32">
        <f>SUM(K61+K62+K63+K64+K60)</f>
        <v>1867168.5</v>
      </c>
      <c r="L58" s="71">
        <f t="shared" si="4"/>
        <v>1670.4637135915166</v>
      </c>
      <c r="M58" s="538" t="s">
        <v>182</v>
      </c>
      <c r="O58" s="38"/>
      <c r="P58" s="38"/>
    </row>
    <row r="59" spans="1:16" ht="12.75">
      <c r="A59" s="503"/>
      <c r="B59" s="528"/>
      <c r="C59" s="462"/>
      <c r="D59" s="505"/>
      <c r="E59" s="20" t="s">
        <v>29</v>
      </c>
      <c r="F59" s="86"/>
      <c r="G59" s="86"/>
      <c r="H59" s="86"/>
      <c r="I59" s="86"/>
      <c r="J59" s="87"/>
      <c r="K59" s="86"/>
      <c r="L59" s="88"/>
      <c r="M59" s="539"/>
      <c r="O59" s="38"/>
      <c r="P59" s="38"/>
    </row>
    <row r="60" spans="1:16" ht="12.75">
      <c r="A60" s="503"/>
      <c r="B60" s="528"/>
      <c r="C60" s="462"/>
      <c r="D60" s="503"/>
      <c r="E60" s="34" t="s">
        <v>27</v>
      </c>
      <c r="F60" s="33">
        <f>ИТОГ!G53</f>
        <v>0</v>
      </c>
      <c r="G60" s="35">
        <f>ИТОГ!H53</f>
        <v>388092.3</v>
      </c>
      <c r="H60" s="25">
        <f>ИТОГ!J53</f>
        <v>238619.8</v>
      </c>
      <c r="I60" s="35">
        <f>ИТОГ!L53</f>
        <v>61.48532191955368</v>
      </c>
      <c r="J60" s="35" t="e">
        <f>ИТОГ!K53</f>
        <v>#DIV/0!</v>
      </c>
      <c r="K60" s="5">
        <v>264894.7</v>
      </c>
      <c r="L60" s="72" t="e">
        <f>K60*100/F60</f>
        <v>#DIV/0!</v>
      </c>
      <c r="M60" s="539"/>
      <c r="O60" s="38"/>
      <c r="P60" s="38"/>
    </row>
    <row r="61" spans="1:16" ht="25.5">
      <c r="A61" s="503"/>
      <c r="B61" s="528"/>
      <c r="C61" s="462"/>
      <c r="D61" s="503"/>
      <c r="E61" s="26" t="s">
        <v>30</v>
      </c>
      <c r="F61" s="33">
        <f>ИТОГ!G54</f>
        <v>78778.39</v>
      </c>
      <c r="G61" s="35">
        <f>ИТОГ!H54</f>
        <v>1039885.7</v>
      </c>
      <c r="H61" s="25">
        <f>ИТОГ!J54</f>
        <v>837926</v>
      </c>
      <c r="I61" s="35">
        <f>ИТОГ!L54</f>
        <v>80.57866359735499</v>
      </c>
      <c r="J61" s="35">
        <f>ИТОГ!K54</f>
        <v>1063.6495617643366</v>
      </c>
      <c r="K61" s="5">
        <v>989119</v>
      </c>
      <c r="L61" s="72">
        <f>K61*100/F61</f>
        <v>1255.5714834994724</v>
      </c>
      <c r="M61" s="539"/>
      <c r="O61" s="38"/>
      <c r="P61" s="38"/>
    </row>
    <row r="62" spans="1:16" ht="25.5">
      <c r="A62" s="503"/>
      <c r="B62" s="528"/>
      <c r="C62" s="462"/>
      <c r="D62" s="503"/>
      <c r="E62" s="26" t="s">
        <v>38</v>
      </c>
      <c r="F62" s="33">
        <f>ИТОГ!G56</f>
        <v>1000</v>
      </c>
      <c r="G62" s="35">
        <f>ИТОГ!H56</f>
        <v>0</v>
      </c>
      <c r="H62" s="25">
        <f>ИТОГ!J56</f>
        <v>0</v>
      </c>
      <c r="I62" s="35">
        <f>ИТОГ!L56</f>
        <v>0</v>
      </c>
      <c r="J62" s="35">
        <f>ИТОГ!K56</f>
        <v>0</v>
      </c>
      <c r="K62" s="5">
        <v>0</v>
      </c>
      <c r="L62" s="80">
        <v>0</v>
      </c>
      <c r="M62" s="539"/>
      <c r="O62" s="38"/>
      <c r="P62" s="38"/>
    </row>
    <row r="63" spans="1:16" ht="25.5">
      <c r="A63" s="503"/>
      <c r="B63" s="528"/>
      <c r="C63" s="462"/>
      <c r="D63" s="503"/>
      <c r="E63" s="26" t="s">
        <v>23</v>
      </c>
      <c r="F63" s="33">
        <f>ИТОГ!G57</f>
        <v>0</v>
      </c>
      <c r="G63" s="35">
        <f>ИТОГ!H57</f>
        <v>0</v>
      </c>
      <c r="H63" s="25">
        <f>ИТОГ!J57</f>
        <v>0</v>
      </c>
      <c r="I63" s="35">
        <f>ИТОГ!L57</f>
        <v>0</v>
      </c>
      <c r="J63" s="35">
        <f>ИТОГ!K57</f>
        <v>0</v>
      </c>
      <c r="K63" s="5">
        <v>0</v>
      </c>
      <c r="L63" s="80">
        <v>0</v>
      </c>
      <c r="M63" s="539"/>
      <c r="O63" s="38"/>
      <c r="P63" s="38"/>
    </row>
    <row r="64" spans="1:16" ht="158.25" customHeight="1">
      <c r="A64" s="503"/>
      <c r="B64" s="529"/>
      <c r="C64" s="462"/>
      <c r="D64" s="503"/>
      <c r="E64" s="26" t="s">
        <v>9</v>
      </c>
      <c r="F64" s="33" t="e">
        <f>ИТОГ!#REF!</f>
        <v>#REF!</v>
      </c>
      <c r="G64" s="35" t="e">
        <f>ИТОГ!#REF!</f>
        <v>#REF!</v>
      </c>
      <c r="H64" s="25" t="e">
        <f>ИТОГ!#REF!</f>
        <v>#REF!</v>
      </c>
      <c r="I64" s="35" t="e">
        <f>ИТОГ!#REF!</f>
        <v>#REF!</v>
      </c>
      <c r="J64" s="35" t="e">
        <f>ИТОГ!#REF!</f>
        <v>#REF!</v>
      </c>
      <c r="K64" s="5">
        <v>613154.8</v>
      </c>
      <c r="L64" s="72" t="e">
        <f>K64*100/F64</f>
        <v>#REF!</v>
      </c>
      <c r="M64" s="540"/>
      <c r="O64" s="38"/>
      <c r="P64" s="38"/>
    </row>
    <row r="65" spans="1:16" ht="12.75">
      <c r="A65" s="503">
        <v>8</v>
      </c>
      <c r="B65" s="507" t="s">
        <v>63</v>
      </c>
      <c r="C65" s="503" t="s">
        <v>109</v>
      </c>
      <c r="D65" s="503" t="s">
        <v>31</v>
      </c>
      <c r="E65" s="47" t="s">
        <v>26</v>
      </c>
      <c r="F65" s="30">
        <f>ИТОГ!G58</f>
        <v>15128.1</v>
      </c>
      <c r="G65" s="30">
        <f>ИТОГ!H58</f>
        <v>2268883.7</v>
      </c>
      <c r="H65" s="18">
        <f>ИТОГ!J58</f>
        <v>1431901.8</v>
      </c>
      <c r="I65" s="31">
        <f>ИТОГ!L58</f>
        <v>63.11040975789107</v>
      </c>
      <c r="J65" s="31">
        <f>ИТОГ!K58</f>
        <v>9465.17936819561</v>
      </c>
      <c r="K65" s="32">
        <f>SUM(K67:K71)</f>
        <v>2494883.7</v>
      </c>
      <c r="L65" s="71">
        <f>K65*100/F65</f>
        <v>16491.718722113153</v>
      </c>
      <c r="M65" s="527" t="s">
        <v>156</v>
      </c>
      <c r="O65" s="38"/>
      <c r="P65" s="38"/>
    </row>
    <row r="66" spans="1:16" ht="12.75">
      <c r="A66" s="503"/>
      <c r="B66" s="507"/>
      <c r="C66" s="503"/>
      <c r="D66" s="505"/>
      <c r="E66" s="20" t="s">
        <v>29</v>
      </c>
      <c r="F66" s="86"/>
      <c r="G66" s="86"/>
      <c r="H66" s="86"/>
      <c r="I66" s="86"/>
      <c r="J66" s="87"/>
      <c r="K66" s="86"/>
      <c r="L66" s="88"/>
      <c r="M66" s="528"/>
      <c r="O66" s="38"/>
      <c r="P66" s="38"/>
    </row>
    <row r="67" spans="1:16" ht="12.75">
      <c r="A67" s="503"/>
      <c r="B67" s="507"/>
      <c r="C67" s="503"/>
      <c r="D67" s="503"/>
      <c r="E67" s="34" t="s">
        <v>27</v>
      </c>
      <c r="F67" s="33">
        <f>ИТОГ!G60</f>
        <v>0</v>
      </c>
      <c r="G67" s="35">
        <f>ИТОГ!H60</f>
        <v>11753.6</v>
      </c>
      <c r="H67" s="25">
        <f>ИТОГ!J60</f>
        <v>10916.8</v>
      </c>
      <c r="I67" s="35">
        <f>ИТОГ!L60</f>
        <v>92.88047917233868</v>
      </c>
      <c r="J67" s="35" t="e">
        <f>ИТОГ!K60</f>
        <v>#DIV/0!</v>
      </c>
      <c r="K67" s="36">
        <v>11753.6</v>
      </c>
      <c r="L67" s="72" t="e">
        <f>K67*100/F67</f>
        <v>#DIV/0!</v>
      </c>
      <c r="M67" s="528"/>
      <c r="O67" s="38"/>
      <c r="P67" s="38"/>
    </row>
    <row r="68" spans="1:16" ht="25.5">
      <c r="A68" s="503"/>
      <c r="B68" s="507"/>
      <c r="C68" s="503"/>
      <c r="D68" s="503"/>
      <c r="E68" s="26" t="s">
        <v>30</v>
      </c>
      <c r="F68" s="33">
        <f>ИТОГ!G61</f>
        <v>3895.1</v>
      </c>
      <c r="G68" s="35">
        <f>ИТОГ!H61</f>
        <v>1631961.6</v>
      </c>
      <c r="H68" s="25">
        <f>ИТОГ!J61</f>
        <v>1414270</v>
      </c>
      <c r="I68" s="35">
        <f>ИТОГ!L61</f>
        <v>86.66074005662878</v>
      </c>
      <c r="J68" s="35">
        <f>ИТОГ!K61</f>
        <v>36308.952273369105</v>
      </c>
      <c r="K68" s="2">
        <v>1857961.6</v>
      </c>
      <c r="L68" s="72">
        <f>K68*100/F68</f>
        <v>47699.971759390006</v>
      </c>
      <c r="M68" s="528"/>
      <c r="O68" s="38"/>
      <c r="P68" s="38"/>
    </row>
    <row r="69" spans="1:16" ht="25.5">
      <c r="A69" s="503"/>
      <c r="B69" s="507"/>
      <c r="C69" s="503"/>
      <c r="D69" s="503"/>
      <c r="E69" s="26" t="s">
        <v>38</v>
      </c>
      <c r="F69" s="33">
        <f>ИТОГ!G63</f>
        <v>0</v>
      </c>
      <c r="G69" s="35">
        <f>ИТОГ!H63</f>
        <v>0</v>
      </c>
      <c r="H69" s="25">
        <f>ИТОГ!J63</f>
        <v>0</v>
      </c>
      <c r="I69" s="35">
        <f>ИТОГ!L63</f>
        <v>0</v>
      </c>
      <c r="J69" s="35">
        <f>ИТОГ!K63</f>
        <v>0</v>
      </c>
      <c r="K69" s="2">
        <v>0</v>
      </c>
      <c r="L69" s="80">
        <v>0</v>
      </c>
      <c r="M69" s="528"/>
      <c r="O69" s="38"/>
      <c r="P69" s="38"/>
    </row>
    <row r="70" spans="1:16" ht="25.5">
      <c r="A70" s="503"/>
      <c r="B70" s="507"/>
      <c r="C70" s="503"/>
      <c r="D70" s="503"/>
      <c r="E70" s="26" t="s">
        <v>23</v>
      </c>
      <c r="F70" s="33">
        <f>ИТОГ!G64</f>
        <v>0</v>
      </c>
      <c r="G70" s="35">
        <f>ИТОГ!H64</f>
        <v>18000</v>
      </c>
      <c r="H70" s="25">
        <f>ИТОГ!J64</f>
        <v>6715</v>
      </c>
      <c r="I70" s="35">
        <f>ИТОГ!L64</f>
        <v>37.30555555555556</v>
      </c>
      <c r="J70" s="35" t="e">
        <f>ИТОГ!K64</f>
        <v>#DIV/0!</v>
      </c>
      <c r="K70" s="2">
        <v>18000</v>
      </c>
      <c r="L70" s="72" t="e">
        <f>K70*100/F70</f>
        <v>#DIV/0!</v>
      </c>
      <c r="M70" s="528"/>
      <c r="O70" s="38"/>
      <c r="P70" s="38"/>
    </row>
    <row r="71" spans="1:16" ht="12.75">
      <c r="A71" s="503"/>
      <c r="B71" s="507"/>
      <c r="C71" s="503"/>
      <c r="D71" s="503"/>
      <c r="E71" s="50" t="s">
        <v>44</v>
      </c>
      <c r="F71" s="33" t="e">
        <f>ИТОГ!#REF!</f>
        <v>#REF!</v>
      </c>
      <c r="G71" s="35" t="e">
        <f>ИТОГ!#REF!</f>
        <v>#REF!</v>
      </c>
      <c r="H71" s="25" t="e">
        <f>ИТОГ!#REF!</f>
        <v>#REF!</v>
      </c>
      <c r="I71" s="35" t="e">
        <f>ИТОГ!#REF!</f>
        <v>#REF!</v>
      </c>
      <c r="J71" s="35" t="e">
        <f>ИТОГ!#REF!</f>
        <v>#REF!</v>
      </c>
      <c r="K71" s="2">
        <v>607168.5</v>
      </c>
      <c r="L71" s="72" t="e">
        <f>K71*100/F71</f>
        <v>#REF!</v>
      </c>
      <c r="M71" s="529"/>
      <c r="O71" s="38"/>
      <c r="P71" s="38"/>
    </row>
    <row r="72" spans="1:16" ht="12.75">
      <c r="A72" s="503">
        <v>9</v>
      </c>
      <c r="B72" s="527" t="s">
        <v>64</v>
      </c>
      <c r="C72" s="503" t="s">
        <v>110</v>
      </c>
      <c r="D72" s="503" t="s">
        <v>31</v>
      </c>
      <c r="E72" s="47" t="s">
        <v>26</v>
      </c>
      <c r="F72" s="30">
        <f>ИТОГ!G65</f>
        <v>617083.58</v>
      </c>
      <c r="G72" s="30">
        <f>ИТОГ!H65</f>
        <v>3047193</v>
      </c>
      <c r="H72" s="18">
        <f>ИТОГ!J65</f>
        <v>1646799</v>
      </c>
      <c r="I72" s="31">
        <f>ИТОГ!L65</f>
        <v>54.043147250600796</v>
      </c>
      <c r="J72" s="31">
        <f>ИТОГ!K65</f>
        <v>266.8680634801529</v>
      </c>
      <c r="K72" s="32">
        <f>SUM(K74:K78)</f>
        <v>2873660.1</v>
      </c>
      <c r="L72" s="71">
        <f>K72*100/F72</f>
        <v>465.6840974443041</v>
      </c>
      <c r="M72" s="508" t="s">
        <v>156</v>
      </c>
      <c r="O72" s="38"/>
      <c r="P72" s="38"/>
    </row>
    <row r="73" spans="1:16" ht="12.75">
      <c r="A73" s="503"/>
      <c r="B73" s="528"/>
      <c r="C73" s="503"/>
      <c r="D73" s="505"/>
      <c r="E73" s="20" t="s">
        <v>29</v>
      </c>
      <c r="F73" s="86"/>
      <c r="G73" s="86"/>
      <c r="H73" s="86"/>
      <c r="I73" s="86"/>
      <c r="J73" s="87"/>
      <c r="K73" s="86"/>
      <c r="L73" s="88"/>
      <c r="M73" s="509"/>
      <c r="O73" s="38"/>
      <c r="P73" s="38"/>
    </row>
    <row r="74" spans="1:16" ht="12.75">
      <c r="A74" s="503"/>
      <c r="B74" s="528"/>
      <c r="C74" s="503"/>
      <c r="D74" s="503"/>
      <c r="E74" s="34" t="s">
        <v>27</v>
      </c>
      <c r="F74" s="33">
        <f>ИТОГ!G67</f>
        <v>1648.91</v>
      </c>
      <c r="G74" s="35">
        <f>ИТОГ!H67</f>
        <v>411235.3</v>
      </c>
      <c r="H74" s="25">
        <f>ИТОГ!J67</f>
        <v>355274.4</v>
      </c>
      <c r="I74" s="35">
        <f>ИТОГ!L67</f>
        <v>86.39199990856817</v>
      </c>
      <c r="J74" s="35">
        <f>ИТОГ!K67</f>
        <v>21546.015246435523</v>
      </c>
      <c r="K74" s="36">
        <v>411235.3</v>
      </c>
      <c r="L74" s="72">
        <f>K74*100/F74</f>
        <v>24939.826915962665</v>
      </c>
      <c r="M74" s="509"/>
      <c r="O74" s="38"/>
      <c r="P74" s="38"/>
    </row>
    <row r="75" spans="1:16" ht="25.5">
      <c r="A75" s="503"/>
      <c r="B75" s="528"/>
      <c r="C75" s="503"/>
      <c r="D75" s="503"/>
      <c r="E75" s="26" t="s">
        <v>30</v>
      </c>
      <c r="F75" s="35">
        <f>ИТОГ!G68</f>
        <v>405710.59</v>
      </c>
      <c r="G75" s="33">
        <f>ИТОГ!H68</f>
        <v>1851830.8</v>
      </c>
      <c r="H75" s="25">
        <f>ИТОГ!J68</f>
        <v>1290524.6</v>
      </c>
      <c r="I75" s="35">
        <f>ИТОГ!L68</f>
        <v>69.68912062592328</v>
      </c>
      <c r="J75" s="35">
        <f>ИТОГ!K68</f>
        <v>318.08994682638183</v>
      </c>
      <c r="K75" s="2">
        <v>1678297.9</v>
      </c>
      <c r="L75" s="72">
        <f>K75*100/F75</f>
        <v>413.6687435247869</v>
      </c>
      <c r="M75" s="509"/>
      <c r="O75" s="38"/>
      <c r="P75" s="38"/>
    </row>
    <row r="76" spans="1:16" ht="25.5">
      <c r="A76" s="503"/>
      <c r="B76" s="528"/>
      <c r="C76" s="503"/>
      <c r="D76" s="503"/>
      <c r="E76" s="26" t="s">
        <v>38</v>
      </c>
      <c r="F76" s="33">
        <f>ИТОГ!G70</f>
        <v>0</v>
      </c>
      <c r="G76" s="33">
        <f>ИТОГ!H70</f>
        <v>1000</v>
      </c>
      <c r="H76" s="25">
        <f>ИТОГ!J70</f>
        <v>1000</v>
      </c>
      <c r="I76" s="35">
        <f>ИТОГ!L70</f>
        <v>100</v>
      </c>
      <c r="J76" s="35" t="e">
        <f>ИТОГ!K70</f>
        <v>#DIV/0!</v>
      </c>
      <c r="K76" s="2">
        <v>1000</v>
      </c>
      <c r="L76" s="72" t="e">
        <f>K76*100/F76</f>
        <v>#DIV/0!</v>
      </c>
      <c r="M76" s="509"/>
      <c r="O76" s="38"/>
      <c r="P76" s="38"/>
    </row>
    <row r="77" spans="1:16" ht="25.5">
      <c r="A77" s="503"/>
      <c r="B77" s="528"/>
      <c r="C77" s="503"/>
      <c r="D77" s="503"/>
      <c r="E77" s="26" t="s">
        <v>23</v>
      </c>
      <c r="F77" s="33">
        <f>ИТОГ!G71</f>
        <v>0</v>
      </c>
      <c r="G77" s="35">
        <f>ИТОГ!H71</f>
        <v>0</v>
      </c>
      <c r="H77" s="25">
        <f>ИТОГ!J71</f>
        <v>0</v>
      </c>
      <c r="I77" s="35">
        <f>ИТОГ!L71</f>
        <v>0</v>
      </c>
      <c r="J77" s="35">
        <f>ИТОГ!K71</f>
        <v>0</v>
      </c>
      <c r="K77" s="2">
        <v>0</v>
      </c>
      <c r="L77" s="80">
        <v>0</v>
      </c>
      <c r="M77" s="509"/>
      <c r="O77" s="38"/>
      <c r="P77" s="38"/>
    </row>
    <row r="78" spans="1:16" ht="12.75">
      <c r="A78" s="503"/>
      <c r="B78" s="529"/>
      <c r="C78" s="503"/>
      <c r="D78" s="503"/>
      <c r="E78" s="26" t="s">
        <v>44</v>
      </c>
      <c r="F78" s="33" t="e">
        <f>ИТОГ!#REF!</f>
        <v>#REF!</v>
      </c>
      <c r="G78" s="33" t="e">
        <f>ИТОГ!#REF!</f>
        <v>#REF!</v>
      </c>
      <c r="H78" s="25" t="e">
        <f>ИТОГ!#REF!</f>
        <v>#REF!</v>
      </c>
      <c r="I78" s="35" t="e">
        <f>ИТОГ!#REF!</f>
        <v>#REF!</v>
      </c>
      <c r="J78" s="35" t="e">
        <f>ИТОГ!#REF!</f>
        <v>#REF!</v>
      </c>
      <c r="K78" s="2">
        <v>783126.9</v>
      </c>
      <c r="L78" s="72" t="e">
        <f>K78*100/F78</f>
        <v>#REF!</v>
      </c>
      <c r="M78" s="510"/>
      <c r="O78" s="38"/>
      <c r="P78" s="38"/>
    </row>
    <row r="79" spans="1:17" ht="12.75">
      <c r="A79" s="503">
        <v>10</v>
      </c>
      <c r="B79" s="527" t="s">
        <v>65</v>
      </c>
      <c r="C79" s="503" t="s">
        <v>108</v>
      </c>
      <c r="D79" s="503" t="s">
        <v>31</v>
      </c>
      <c r="E79" s="47" t="s">
        <v>26</v>
      </c>
      <c r="F79" s="30">
        <f>ИТОГ!G72</f>
        <v>516238.95</v>
      </c>
      <c r="G79" s="30">
        <f>ИТОГ!H72</f>
        <v>115003.5</v>
      </c>
      <c r="H79" s="18">
        <f>ИТОГ!J72</f>
        <v>87323.5</v>
      </c>
      <c r="I79" s="31">
        <f>ИТОГ!L72</f>
        <v>75.9311673122992</v>
      </c>
      <c r="J79" s="31">
        <f>ИТОГ!K72</f>
        <v>16.915325742081258</v>
      </c>
      <c r="K79" s="32">
        <f>SUM(K81:K85)</f>
        <v>114093.3</v>
      </c>
      <c r="L79" s="71">
        <f>K79*100/F79</f>
        <v>22.100870149375595</v>
      </c>
      <c r="M79" s="527" t="s">
        <v>156</v>
      </c>
      <c r="O79" s="38"/>
      <c r="Q79" s="38"/>
    </row>
    <row r="80" spans="1:17" ht="12.75">
      <c r="A80" s="503"/>
      <c r="B80" s="528"/>
      <c r="C80" s="503"/>
      <c r="D80" s="505"/>
      <c r="E80" s="20" t="s">
        <v>29</v>
      </c>
      <c r="F80" s="86"/>
      <c r="G80" s="86"/>
      <c r="H80" s="86"/>
      <c r="I80" s="86"/>
      <c r="J80" s="87"/>
      <c r="K80" s="86"/>
      <c r="L80" s="88"/>
      <c r="M80" s="528"/>
      <c r="O80" s="38"/>
      <c r="Q80" s="38"/>
    </row>
    <row r="81" spans="1:17" ht="12.75">
      <c r="A81" s="503"/>
      <c r="B81" s="528"/>
      <c r="C81" s="503"/>
      <c r="D81" s="503"/>
      <c r="E81" s="34" t="s">
        <v>27</v>
      </c>
      <c r="F81" s="33">
        <f>ИТОГ!G74</f>
        <v>0</v>
      </c>
      <c r="G81" s="35">
        <f>ИТОГ!H74</f>
        <v>15003.5</v>
      </c>
      <c r="H81" s="25">
        <f>ИТОГ!J74</f>
        <v>13347.1</v>
      </c>
      <c r="I81" s="35">
        <f>ИТОГ!L74</f>
        <v>88.95990935448395</v>
      </c>
      <c r="J81" s="35" t="e">
        <f>ИТОГ!K74</f>
        <v>#DIV/0!</v>
      </c>
      <c r="K81" s="36">
        <v>15003.5</v>
      </c>
      <c r="L81" s="72" t="e">
        <f>K81*100/F81</f>
        <v>#DIV/0!</v>
      </c>
      <c r="M81" s="528"/>
      <c r="O81" s="38"/>
      <c r="Q81" s="38"/>
    </row>
    <row r="82" spans="1:17" ht="25.5">
      <c r="A82" s="503"/>
      <c r="B82" s="528"/>
      <c r="C82" s="503"/>
      <c r="D82" s="503"/>
      <c r="E82" s="26" t="s">
        <v>30</v>
      </c>
      <c r="F82" s="33">
        <f>ИТОГ!G75</f>
        <v>73051.8</v>
      </c>
      <c r="G82" s="33">
        <f>ИТОГ!H75</f>
        <v>100000</v>
      </c>
      <c r="H82" s="25">
        <f>ИТОГ!J75</f>
        <v>73976.4</v>
      </c>
      <c r="I82" s="35">
        <f>ИТОГ!L75</f>
        <v>73.97639999999998</v>
      </c>
      <c r="J82" s="35">
        <f>ИТОГ!K75</f>
        <v>101.26567723177251</v>
      </c>
      <c r="K82" s="2">
        <v>99089.8</v>
      </c>
      <c r="L82" s="72">
        <f>K82*100/F82</f>
        <v>135.6432011257765</v>
      </c>
      <c r="M82" s="528"/>
      <c r="O82" s="38"/>
      <c r="Q82" s="51"/>
    </row>
    <row r="83" spans="1:17" ht="25.5">
      <c r="A83" s="503"/>
      <c r="B83" s="528"/>
      <c r="C83" s="503"/>
      <c r="D83" s="503"/>
      <c r="E83" s="26" t="s">
        <v>38</v>
      </c>
      <c r="F83" s="33">
        <f>ИТОГ!G77</f>
        <v>0</v>
      </c>
      <c r="G83" s="33">
        <f>ИТОГ!H77</f>
        <v>0</v>
      </c>
      <c r="H83" s="25">
        <f>ИТОГ!J77</f>
        <v>0</v>
      </c>
      <c r="I83" s="35">
        <f>ИТОГ!L77</f>
        <v>0</v>
      </c>
      <c r="J83" s="35">
        <f>ИТОГ!K77</f>
        <v>0</v>
      </c>
      <c r="K83" s="2">
        <v>0</v>
      </c>
      <c r="L83" s="80">
        <v>0</v>
      </c>
      <c r="M83" s="528"/>
      <c r="O83" s="38"/>
      <c r="Q83" s="38"/>
    </row>
    <row r="84" spans="1:17" ht="25.5">
      <c r="A84" s="503"/>
      <c r="B84" s="528"/>
      <c r="C84" s="503"/>
      <c r="D84" s="503"/>
      <c r="E84" s="26" t="s">
        <v>23</v>
      </c>
      <c r="F84" s="33">
        <f>ИТОГ!G78</f>
        <v>0</v>
      </c>
      <c r="G84" s="35">
        <f>ИТОГ!H78</f>
        <v>0</v>
      </c>
      <c r="H84" s="25">
        <f>ИТОГ!J78</f>
        <v>0</v>
      </c>
      <c r="I84" s="35">
        <f>ИТОГ!L78</f>
        <v>0</v>
      </c>
      <c r="J84" s="35">
        <f>ИТОГ!K78</f>
        <v>0</v>
      </c>
      <c r="K84" s="2">
        <v>0</v>
      </c>
      <c r="L84" s="80">
        <v>0</v>
      </c>
      <c r="M84" s="528"/>
      <c r="O84" s="38"/>
      <c r="Q84" s="38"/>
    </row>
    <row r="85" spans="1:17" ht="12.75">
      <c r="A85" s="503"/>
      <c r="B85" s="529"/>
      <c r="C85" s="503"/>
      <c r="D85" s="503"/>
      <c r="E85" s="26" t="s">
        <v>44</v>
      </c>
      <c r="F85" s="33" t="e">
        <f>ИТОГ!#REF!</f>
        <v>#REF!</v>
      </c>
      <c r="G85" s="33" t="e">
        <f>ИТОГ!#REF!</f>
        <v>#REF!</v>
      </c>
      <c r="H85" s="25" t="e">
        <f>ИТОГ!#REF!</f>
        <v>#REF!</v>
      </c>
      <c r="I85" s="35" t="e">
        <f>ИТОГ!#REF!</f>
        <v>#REF!</v>
      </c>
      <c r="J85" s="35" t="e">
        <f>ИТОГ!#REF!</f>
        <v>#REF!</v>
      </c>
      <c r="K85" s="2">
        <v>0</v>
      </c>
      <c r="L85" s="80">
        <v>0</v>
      </c>
      <c r="M85" s="529"/>
      <c r="O85" s="38"/>
      <c r="Q85" s="38"/>
    </row>
    <row r="86" spans="1:15" ht="12.75">
      <c r="A86" s="503">
        <v>11</v>
      </c>
      <c r="B86" s="507" t="s">
        <v>66</v>
      </c>
      <c r="C86" s="503" t="s">
        <v>115</v>
      </c>
      <c r="D86" s="503" t="s">
        <v>11</v>
      </c>
      <c r="E86" s="47" t="s">
        <v>26</v>
      </c>
      <c r="F86" s="30">
        <f>ИТОГ!G79</f>
        <v>22466.58</v>
      </c>
      <c r="G86" s="30">
        <f>ИТОГ!H79</f>
        <v>27218131</v>
      </c>
      <c r="H86" s="18">
        <f>ИТОГ!J79</f>
        <v>10175990.2</v>
      </c>
      <c r="I86" s="31">
        <f>ИТОГ!L79</f>
        <v>37.3868073454419</v>
      </c>
      <c r="J86" s="31">
        <f>ИТОГ!K79</f>
        <v>45293.89965005799</v>
      </c>
      <c r="K86" s="32">
        <f>SUM(K88:K92)</f>
        <v>27218575.3</v>
      </c>
      <c r="L86" s="71">
        <f>K86*100/F86</f>
        <v>121151.39598461358</v>
      </c>
      <c r="M86" s="508" t="s">
        <v>169</v>
      </c>
      <c r="O86" s="38"/>
    </row>
    <row r="87" spans="1:15" ht="12.75">
      <c r="A87" s="503"/>
      <c r="B87" s="507"/>
      <c r="C87" s="503"/>
      <c r="D87" s="505"/>
      <c r="E87" s="20" t="s">
        <v>29</v>
      </c>
      <c r="F87" s="86"/>
      <c r="G87" s="86"/>
      <c r="H87" s="86"/>
      <c r="I87" s="86"/>
      <c r="J87" s="87"/>
      <c r="K87" s="86"/>
      <c r="L87" s="88"/>
      <c r="M87" s="509"/>
      <c r="O87" s="38"/>
    </row>
    <row r="88" spans="1:15" ht="12.75">
      <c r="A88" s="503"/>
      <c r="B88" s="507"/>
      <c r="C88" s="503"/>
      <c r="D88" s="503"/>
      <c r="E88" s="34" t="s">
        <v>27</v>
      </c>
      <c r="F88" s="33">
        <f>ИТОГ!G81</f>
        <v>0</v>
      </c>
      <c r="G88" s="35">
        <f>ИТОГ!H81</f>
        <v>173481.3</v>
      </c>
      <c r="H88" s="25">
        <f>ИТОГ!J81</f>
        <v>172770.6</v>
      </c>
      <c r="I88" s="35">
        <f>ИТОГ!L81</f>
        <v>99.59033048518775</v>
      </c>
      <c r="J88" s="35" t="e">
        <f>ИТОГ!K81</f>
        <v>#DIV/0!</v>
      </c>
      <c r="K88" s="36">
        <v>174102.3</v>
      </c>
      <c r="L88" s="72" t="e">
        <f aca="true" t="shared" si="5" ref="L88:L93">K88*100/F88</f>
        <v>#DIV/0!</v>
      </c>
      <c r="M88" s="509"/>
      <c r="O88" s="38"/>
    </row>
    <row r="89" spans="1:16" ht="25.5">
      <c r="A89" s="503"/>
      <c r="B89" s="507"/>
      <c r="C89" s="503"/>
      <c r="D89" s="503"/>
      <c r="E89" s="26" t="s">
        <v>30</v>
      </c>
      <c r="F89" s="33">
        <f>ИТОГ!G82</f>
        <v>19609.72</v>
      </c>
      <c r="G89" s="35">
        <f>ИТОГ!H82</f>
        <v>13669381.5</v>
      </c>
      <c r="H89" s="25">
        <f>ИТОГ!J82</f>
        <v>9219571.1</v>
      </c>
      <c r="I89" s="35">
        <f>ИТОГ!L82</f>
        <v>67.44687826585277</v>
      </c>
      <c r="J89" s="35">
        <f>ИТОГ!K82</f>
        <v>47015.31230430623</v>
      </c>
      <c r="K89" s="2">
        <v>13660992.1</v>
      </c>
      <c r="L89" s="72">
        <f t="shared" si="5"/>
        <v>69664.39143445189</v>
      </c>
      <c r="M89" s="509"/>
      <c r="O89" s="38"/>
      <c r="P89" s="38"/>
    </row>
    <row r="90" spans="1:15" ht="25.5">
      <c r="A90" s="503"/>
      <c r="B90" s="507"/>
      <c r="C90" s="503"/>
      <c r="D90" s="503"/>
      <c r="E90" s="26" t="s">
        <v>38</v>
      </c>
      <c r="F90" s="33">
        <f>ИТОГ!G84</f>
        <v>43.2</v>
      </c>
      <c r="G90" s="35">
        <f>ИТОГ!H84</f>
        <v>925948.6</v>
      </c>
      <c r="H90" s="25">
        <f>ИТОГ!J84</f>
        <v>468606.2</v>
      </c>
      <c r="I90" s="35">
        <f>ИТОГ!L84</f>
        <v>50.60823030565628</v>
      </c>
      <c r="J90" s="35">
        <f>ИТОГ!K84</f>
        <v>1084736.5740740742</v>
      </c>
      <c r="K90" s="2">
        <v>925948.6</v>
      </c>
      <c r="L90" s="72">
        <f t="shared" si="5"/>
        <v>2143399.537037037</v>
      </c>
      <c r="M90" s="509"/>
      <c r="O90" s="38"/>
    </row>
    <row r="91" spans="1:15" ht="25.5">
      <c r="A91" s="503"/>
      <c r="B91" s="507"/>
      <c r="C91" s="503"/>
      <c r="D91" s="503"/>
      <c r="E91" s="26" t="s">
        <v>23</v>
      </c>
      <c r="F91" s="33">
        <f>ИТОГ!G85</f>
        <v>0</v>
      </c>
      <c r="G91" s="35">
        <f>ИТОГ!H85</f>
        <v>507841.3</v>
      </c>
      <c r="H91" s="25">
        <f>ИТОГ!J85</f>
        <v>315042.3</v>
      </c>
      <c r="I91" s="35">
        <f>ИТОГ!L85</f>
        <v>62.035580800537495</v>
      </c>
      <c r="J91" s="35" t="e">
        <f>ИТОГ!K85</f>
        <v>#DIV/0!</v>
      </c>
      <c r="K91" s="2">
        <v>507055.3</v>
      </c>
      <c r="L91" s="72" t="e">
        <f t="shared" si="5"/>
        <v>#DIV/0!</v>
      </c>
      <c r="M91" s="509"/>
      <c r="O91" s="38"/>
    </row>
    <row r="92" spans="1:15" ht="12.75">
      <c r="A92" s="503"/>
      <c r="B92" s="507"/>
      <c r="C92" s="503"/>
      <c r="D92" s="503"/>
      <c r="E92" s="26" t="s">
        <v>44</v>
      </c>
      <c r="F92" s="33" t="e">
        <f>ИТОГ!#REF!</f>
        <v>#REF!</v>
      </c>
      <c r="G92" s="33" t="e">
        <f>ИТОГ!#REF!</f>
        <v>#REF!</v>
      </c>
      <c r="H92" s="25" t="e">
        <f>ИТОГ!#REF!</f>
        <v>#REF!</v>
      </c>
      <c r="I92" s="35" t="e">
        <f>ИТОГ!#REF!</f>
        <v>#REF!</v>
      </c>
      <c r="J92" s="35" t="e">
        <f>ИТОГ!#REF!</f>
        <v>#REF!</v>
      </c>
      <c r="K92" s="2">
        <v>11950477</v>
      </c>
      <c r="L92" s="72" t="e">
        <f t="shared" si="5"/>
        <v>#REF!</v>
      </c>
      <c r="M92" s="510"/>
      <c r="O92" s="38"/>
    </row>
    <row r="93" spans="1:15" ht="12.75">
      <c r="A93" s="503">
        <v>12</v>
      </c>
      <c r="B93" s="507" t="s">
        <v>67</v>
      </c>
      <c r="C93" s="503" t="s">
        <v>116</v>
      </c>
      <c r="D93" s="503" t="s">
        <v>74</v>
      </c>
      <c r="E93" s="47" t="s">
        <v>26</v>
      </c>
      <c r="F93" s="30">
        <f>ИТОГ!G86</f>
        <v>12960.37</v>
      </c>
      <c r="G93" s="30">
        <f>ИТОГ!H86</f>
        <v>11332754.1</v>
      </c>
      <c r="H93" s="18">
        <f>ИТОГ!J86</f>
        <v>2315419.3</v>
      </c>
      <c r="I93" s="31">
        <f>ИТОГ!L86</f>
        <v>20.4312145094545</v>
      </c>
      <c r="J93" s="31">
        <f>ИТОГ!K86</f>
        <v>17865.37961493383</v>
      </c>
      <c r="K93" s="32">
        <f>SUM(K95:K99)</f>
        <v>11257121.2</v>
      </c>
      <c r="L93" s="71">
        <f t="shared" si="5"/>
        <v>86858.02334346935</v>
      </c>
      <c r="M93" s="524" t="s">
        <v>160</v>
      </c>
      <c r="O93" s="38"/>
    </row>
    <row r="94" spans="1:15" ht="12.75">
      <c r="A94" s="503"/>
      <c r="B94" s="507"/>
      <c r="C94" s="503"/>
      <c r="D94" s="505"/>
      <c r="E94" s="20" t="s">
        <v>29</v>
      </c>
      <c r="F94" s="86"/>
      <c r="G94" s="86"/>
      <c r="H94" s="86"/>
      <c r="I94" s="86"/>
      <c r="J94" s="87"/>
      <c r="K94" s="86"/>
      <c r="L94" s="88"/>
      <c r="M94" s="525"/>
      <c r="O94" s="38"/>
    </row>
    <row r="95" spans="1:15" ht="12.75">
      <c r="A95" s="503"/>
      <c r="B95" s="507"/>
      <c r="C95" s="503"/>
      <c r="D95" s="503"/>
      <c r="E95" s="34" t="s">
        <v>121</v>
      </c>
      <c r="F95" s="33">
        <f>ИТОГ!G88</f>
        <v>0</v>
      </c>
      <c r="G95" s="35">
        <f>ИТОГ!H88</f>
        <v>74255</v>
      </c>
      <c r="H95" s="25">
        <f>ИТОГ!J88</f>
        <v>65755</v>
      </c>
      <c r="I95" s="35">
        <f>ИТОГ!L88</f>
        <v>88.55295939667363</v>
      </c>
      <c r="J95" s="35" t="e">
        <f>ИТОГ!K88</f>
        <v>#REF!</v>
      </c>
      <c r="K95" s="36">
        <v>74254.9</v>
      </c>
      <c r="L95" s="72">
        <v>0</v>
      </c>
      <c r="M95" s="525"/>
      <c r="O95" s="38"/>
    </row>
    <row r="96" spans="1:15" ht="25.5">
      <c r="A96" s="503"/>
      <c r="B96" s="507"/>
      <c r="C96" s="503"/>
      <c r="D96" s="503"/>
      <c r="E96" s="26" t="s">
        <v>30</v>
      </c>
      <c r="F96" s="33">
        <f>ИТОГ!G89</f>
        <v>99.4</v>
      </c>
      <c r="G96" s="35">
        <f>ИТОГ!H89</f>
        <v>2993151.6</v>
      </c>
      <c r="H96" s="25">
        <f>ИТОГ!J89</f>
        <v>2009240.9</v>
      </c>
      <c r="I96" s="35">
        <f>ИТОГ!L89</f>
        <v>67.12793631969727</v>
      </c>
      <c r="J96" s="35">
        <f>ИТОГ!K89</f>
        <v>2021369.1146881287</v>
      </c>
      <c r="K96" s="2">
        <v>2927922.5</v>
      </c>
      <c r="L96" s="72">
        <f>K96*100/F96</f>
        <v>2945596.076458752</v>
      </c>
      <c r="M96" s="525"/>
      <c r="O96" s="38"/>
    </row>
    <row r="97" spans="1:15" ht="25.5">
      <c r="A97" s="503"/>
      <c r="B97" s="507"/>
      <c r="C97" s="503"/>
      <c r="D97" s="503"/>
      <c r="E97" s="50" t="s">
        <v>38</v>
      </c>
      <c r="F97" s="33">
        <f>ИТОГ!G91</f>
        <v>13.1</v>
      </c>
      <c r="G97" s="35">
        <f>ИТОГ!H91</f>
        <v>1064487.5</v>
      </c>
      <c r="H97" s="25">
        <f>ИТОГ!J91</f>
        <v>240423.4</v>
      </c>
      <c r="I97" s="35">
        <f>ИТОГ!L91</f>
        <v>22.58583590695053</v>
      </c>
      <c r="J97" s="35">
        <f>ИТОГ!K91</f>
        <v>1835293.1297709926</v>
      </c>
      <c r="K97" s="2">
        <v>1059844.7</v>
      </c>
      <c r="L97" s="72">
        <f>K97*100/F97</f>
        <v>8090417.557251909</v>
      </c>
      <c r="M97" s="525"/>
      <c r="O97" s="38"/>
    </row>
    <row r="98" spans="1:15" ht="25.5">
      <c r="A98" s="503"/>
      <c r="B98" s="507"/>
      <c r="C98" s="503"/>
      <c r="D98" s="503"/>
      <c r="E98" s="26" t="s">
        <v>23</v>
      </c>
      <c r="F98" s="33">
        <f>ИТОГ!G92</f>
        <v>0</v>
      </c>
      <c r="G98" s="35">
        <f>ИТОГ!H92</f>
        <v>0</v>
      </c>
      <c r="H98" s="25">
        <f>ИТОГ!J92</f>
        <v>0</v>
      </c>
      <c r="I98" s="35">
        <f>ИТОГ!L92</f>
        <v>0</v>
      </c>
      <c r="J98" s="35">
        <f>ИТОГ!K92</f>
        <v>0</v>
      </c>
      <c r="K98" s="2">
        <v>0</v>
      </c>
      <c r="L98" s="80">
        <v>0</v>
      </c>
      <c r="M98" s="525"/>
      <c r="O98" s="38"/>
    </row>
    <row r="99" spans="1:15" ht="12.75">
      <c r="A99" s="503"/>
      <c r="B99" s="507"/>
      <c r="C99" s="503"/>
      <c r="D99" s="503"/>
      <c r="E99" s="50" t="s">
        <v>44</v>
      </c>
      <c r="F99" s="33" t="e">
        <f>ИТОГ!#REF!</f>
        <v>#REF!</v>
      </c>
      <c r="G99" s="35" t="e">
        <f>ИТОГ!#REF!</f>
        <v>#REF!</v>
      </c>
      <c r="H99" s="25" t="e">
        <f>ИТОГ!#REF!</f>
        <v>#REF!</v>
      </c>
      <c r="I99" s="35" t="e">
        <f>ИТОГ!#REF!</f>
        <v>#REF!</v>
      </c>
      <c r="J99" s="35" t="e">
        <f>ИТОГ!#REF!</f>
        <v>#REF!</v>
      </c>
      <c r="K99" s="2">
        <v>7195099.1</v>
      </c>
      <c r="L99" s="72" t="e">
        <f>K99*100/F99</f>
        <v>#REF!</v>
      </c>
      <c r="M99" s="526"/>
      <c r="O99" s="38"/>
    </row>
    <row r="100" spans="1:15" ht="12.75">
      <c r="A100" s="503">
        <v>13</v>
      </c>
      <c r="B100" s="507" t="s">
        <v>68</v>
      </c>
      <c r="C100" s="503" t="s">
        <v>145</v>
      </c>
      <c r="D100" s="503" t="s">
        <v>25</v>
      </c>
      <c r="E100" s="47" t="s">
        <v>26</v>
      </c>
      <c r="F100" s="30">
        <f>ИТОГ!G93</f>
        <v>6998.91</v>
      </c>
      <c r="G100" s="30">
        <f>ИТОГ!H93</f>
        <v>847507.5</v>
      </c>
      <c r="H100" s="18">
        <f>ИТОГ!J93</f>
        <v>650139.4</v>
      </c>
      <c r="I100" s="31">
        <f>ИТОГ!L93</f>
        <v>76.71193470264275</v>
      </c>
      <c r="J100" s="31">
        <f>ИТОГ!K93</f>
        <v>9289.152167980443</v>
      </c>
      <c r="K100" s="32">
        <f>SUM(K102:K106)</f>
        <v>834054.4</v>
      </c>
      <c r="L100" s="71">
        <f>K100*100/F100</f>
        <v>11916.918491593691</v>
      </c>
      <c r="M100" s="524" t="s">
        <v>161</v>
      </c>
      <c r="O100" s="38"/>
    </row>
    <row r="101" spans="1:15" ht="12.75">
      <c r="A101" s="503"/>
      <c r="B101" s="507"/>
      <c r="C101" s="503"/>
      <c r="D101" s="505"/>
      <c r="E101" s="20" t="s">
        <v>29</v>
      </c>
      <c r="F101" s="86"/>
      <c r="G101" s="86"/>
      <c r="H101" s="86"/>
      <c r="I101" s="86"/>
      <c r="J101" s="87"/>
      <c r="K101" s="86"/>
      <c r="L101" s="88"/>
      <c r="M101" s="525"/>
      <c r="O101" s="38"/>
    </row>
    <row r="102" spans="1:15" ht="12.75">
      <c r="A102" s="503"/>
      <c r="B102" s="507"/>
      <c r="C102" s="503"/>
      <c r="D102" s="503"/>
      <c r="E102" s="34" t="s">
        <v>27</v>
      </c>
      <c r="F102" s="33">
        <f>ИТОГ!G95</f>
        <v>0</v>
      </c>
      <c r="G102" s="35">
        <f>ИТОГ!H95</f>
        <v>147001.1</v>
      </c>
      <c r="H102" s="25">
        <f>ИТОГ!J95</f>
        <v>145545.1</v>
      </c>
      <c r="I102" s="35">
        <f>ИТОГ!L95</f>
        <v>99.00953122119493</v>
      </c>
      <c r="J102" s="35" t="e">
        <f>ИТОГ!K95</f>
        <v>#DIV/0!</v>
      </c>
      <c r="K102" s="5">
        <v>146135.9</v>
      </c>
      <c r="L102" s="72" t="e">
        <f>K102*100/F102</f>
        <v>#DIV/0!</v>
      </c>
      <c r="M102" s="525"/>
      <c r="O102" s="38"/>
    </row>
    <row r="103" spans="1:15" ht="25.5">
      <c r="A103" s="503"/>
      <c r="B103" s="507"/>
      <c r="C103" s="503"/>
      <c r="D103" s="503"/>
      <c r="E103" s="26" t="s">
        <v>30</v>
      </c>
      <c r="F103" s="33">
        <f>ИТОГ!G96</f>
        <v>0</v>
      </c>
      <c r="G103" s="35">
        <f>ИТОГ!H96</f>
        <v>679244.9</v>
      </c>
      <c r="H103" s="25">
        <f>ИТОГ!J96</f>
        <v>484995.5</v>
      </c>
      <c r="I103" s="35">
        <f>ИТОГ!L96</f>
        <v>71.40215554065993</v>
      </c>
      <c r="J103" s="35" t="e">
        <f>ИТОГ!K96</f>
        <v>#DIV/0!</v>
      </c>
      <c r="K103" s="5">
        <v>667012.9</v>
      </c>
      <c r="L103" s="72" t="e">
        <f>K103*100/F103</f>
        <v>#DIV/0!</v>
      </c>
      <c r="M103" s="525"/>
      <c r="O103" s="38"/>
    </row>
    <row r="104" spans="1:15" ht="25.5">
      <c r="A104" s="503"/>
      <c r="B104" s="507"/>
      <c r="C104" s="503"/>
      <c r="D104" s="503"/>
      <c r="E104" s="26" t="s">
        <v>38</v>
      </c>
      <c r="F104" s="35">
        <f>ИТОГ!G98</f>
        <v>0</v>
      </c>
      <c r="G104" s="35">
        <f>ИТОГ!H98</f>
        <v>21261.5</v>
      </c>
      <c r="H104" s="25">
        <f>ИТОГ!J98</f>
        <v>19598.8</v>
      </c>
      <c r="I104" s="35">
        <f>ИТОГ!L98</f>
        <v>92.1797615408132</v>
      </c>
      <c r="J104" s="35" t="e">
        <f>ИТОГ!K98</f>
        <v>#DIV/0!</v>
      </c>
      <c r="K104" s="5">
        <v>20905.6</v>
      </c>
      <c r="L104" s="72" t="e">
        <f>K104*100/F104</f>
        <v>#DIV/0!</v>
      </c>
      <c r="M104" s="525"/>
      <c r="O104" s="38"/>
    </row>
    <row r="105" spans="1:15" ht="25.5">
      <c r="A105" s="503"/>
      <c r="B105" s="507"/>
      <c r="C105" s="503"/>
      <c r="D105" s="503"/>
      <c r="E105" s="26" t="s">
        <v>23</v>
      </c>
      <c r="F105" s="33">
        <f>ИТОГ!G99</f>
        <v>0</v>
      </c>
      <c r="G105" s="35">
        <f>ИТОГ!H99</f>
        <v>0</v>
      </c>
      <c r="H105" s="25">
        <f>ИТОГ!J99</f>
        <v>0</v>
      </c>
      <c r="I105" s="35">
        <f>ИТОГ!L99</f>
        <v>0</v>
      </c>
      <c r="J105" s="35">
        <f>ИТОГ!K99</f>
        <v>0</v>
      </c>
      <c r="K105" s="2">
        <v>0</v>
      </c>
      <c r="L105" s="80">
        <v>0</v>
      </c>
      <c r="M105" s="525"/>
      <c r="O105" s="38"/>
    </row>
    <row r="106" spans="1:15" ht="69" customHeight="1">
      <c r="A106" s="503"/>
      <c r="B106" s="507"/>
      <c r="C106" s="503"/>
      <c r="D106" s="503"/>
      <c r="E106" s="26" t="s">
        <v>44</v>
      </c>
      <c r="F106" s="33" t="e">
        <f>ИТОГ!#REF!</f>
        <v>#REF!</v>
      </c>
      <c r="G106" s="35" t="e">
        <f>ИТОГ!#REF!</f>
        <v>#REF!</v>
      </c>
      <c r="H106" s="25" t="e">
        <f>ИТОГ!#REF!</f>
        <v>#REF!</v>
      </c>
      <c r="I106" s="35" t="e">
        <f>ИТОГ!#REF!</f>
        <v>#REF!</v>
      </c>
      <c r="J106" s="35" t="e">
        <f>ИТОГ!#REF!</f>
        <v>#REF!</v>
      </c>
      <c r="K106" s="2">
        <v>0</v>
      </c>
      <c r="L106" s="80">
        <v>0</v>
      </c>
      <c r="M106" s="526"/>
      <c r="O106" s="38"/>
    </row>
    <row r="107" spans="1:15" ht="12.75">
      <c r="A107" s="503">
        <v>14</v>
      </c>
      <c r="B107" s="507" t="s">
        <v>69</v>
      </c>
      <c r="C107" s="503" t="s">
        <v>146</v>
      </c>
      <c r="D107" s="503" t="s">
        <v>33</v>
      </c>
      <c r="E107" s="47" t="s">
        <v>26</v>
      </c>
      <c r="F107" s="30">
        <f>ИТОГ!G100</f>
        <v>12332.1</v>
      </c>
      <c r="G107" s="30">
        <f>ИТОГ!H100</f>
        <v>2929468.3</v>
      </c>
      <c r="H107" s="18">
        <f>ИТОГ!J100</f>
        <v>2278579.885</v>
      </c>
      <c r="I107" s="31">
        <f>ИТОГ!L100</f>
        <v>77.78134636240985</v>
      </c>
      <c r="J107" s="31">
        <f>ИТОГ!K100</f>
        <v>18476.819722512788</v>
      </c>
      <c r="K107" s="32">
        <f>SUM(K109:K113)</f>
        <v>2794094</v>
      </c>
      <c r="L107" s="71">
        <f>K107*100/F107</f>
        <v>22657.081924408656</v>
      </c>
      <c r="M107" s="524" t="s">
        <v>162</v>
      </c>
      <c r="O107" s="38"/>
    </row>
    <row r="108" spans="1:15" ht="12.75">
      <c r="A108" s="503"/>
      <c r="B108" s="507"/>
      <c r="C108" s="503"/>
      <c r="D108" s="505"/>
      <c r="E108" s="20" t="s">
        <v>29</v>
      </c>
      <c r="F108" s="86"/>
      <c r="G108" s="86"/>
      <c r="H108" s="86"/>
      <c r="I108" s="86"/>
      <c r="J108" s="87"/>
      <c r="K108" s="86"/>
      <c r="L108" s="88"/>
      <c r="M108" s="525"/>
      <c r="O108" s="38"/>
    </row>
    <row r="109" spans="1:15" ht="12.75">
      <c r="A109" s="503"/>
      <c r="B109" s="507"/>
      <c r="C109" s="503"/>
      <c r="D109" s="503"/>
      <c r="E109" s="34" t="s">
        <v>27</v>
      </c>
      <c r="F109" s="33">
        <f>ИТОГ!G102</f>
        <v>1054.8</v>
      </c>
      <c r="G109" s="35">
        <f>ИТОГ!H102</f>
        <v>0</v>
      </c>
      <c r="H109" s="25">
        <f>ИТОГ!J102</f>
        <v>0</v>
      </c>
      <c r="I109" s="35">
        <f>ИТОГ!L102</f>
        <v>0</v>
      </c>
      <c r="J109" s="35">
        <f>ИТОГ!K102</f>
        <v>0</v>
      </c>
      <c r="K109" s="36">
        <v>0</v>
      </c>
      <c r="L109" s="80">
        <v>0</v>
      </c>
      <c r="M109" s="525"/>
      <c r="O109" s="38"/>
    </row>
    <row r="110" spans="1:15" ht="12.75">
      <c r="A110" s="503"/>
      <c r="B110" s="507"/>
      <c r="C110" s="503"/>
      <c r="D110" s="503"/>
      <c r="E110" s="26" t="s">
        <v>3</v>
      </c>
      <c r="F110" s="33">
        <f>ИТОГ!G103</f>
        <v>4869.8</v>
      </c>
      <c r="G110" s="35">
        <f>ИТОГ!H103</f>
        <v>2638921.9</v>
      </c>
      <c r="H110" s="25">
        <f>ИТОГ!J103</f>
        <v>2122305</v>
      </c>
      <c r="I110" s="35">
        <f>ИТОГ!L103</f>
        <v>80.4231834219876</v>
      </c>
      <c r="J110" s="35">
        <f>ИТОГ!K103</f>
        <v>43580.94788286993</v>
      </c>
      <c r="K110" s="2">
        <v>2625007.2</v>
      </c>
      <c r="L110" s="72">
        <f>K110*100/F110</f>
        <v>53903.79892398045</v>
      </c>
      <c r="M110" s="525"/>
      <c r="O110" s="38"/>
    </row>
    <row r="111" spans="1:15" ht="25.5">
      <c r="A111" s="503"/>
      <c r="B111" s="507"/>
      <c r="C111" s="503"/>
      <c r="D111" s="503"/>
      <c r="E111" s="26" t="s">
        <v>38</v>
      </c>
      <c r="F111" s="33">
        <f>ИТОГ!G104</f>
        <v>6407.5</v>
      </c>
      <c r="G111" s="35">
        <f>ИТОГ!H104</f>
        <v>5723.99</v>
      </c>
      <c r="H111" s="25">
        <f>ИТОГ!J104</f>
        <v>3469.085</v>
      </c>
      <c r="I111" s="35">
        <f>ИТОГ!L104</f>
        <v>60.60606325308046</v>
      </c>
      <c r="J111" s="35">
        <f>ИТОГ!K104</f>
        <v>54.141006632852125</v>
      </c>
      <c r="K111" s="2">
        <v>5701.7</v>
      </c>
      <c r="L111" s="72">
        <f>K111*100/F111</f>
        <v>88.98478345688646</v>
      </c>
      <c r="M111" s="525"/>
      <c r="O111" s="38"/>
    </row>
    <row r="112" spans="1:15" ht="12.75">
      <c r="A112" s="503"/>
      <c r="B112" s="507"/>
      <c r="C112" s="503"/>
      <c r="D112" s="503"/>
      <c r="E112" s="26" t="s">
        <v>23</v>
      </c>
      <c r="F112" s="33">
        <f>ИТОГ!G105</f>
        <v>0</v>
      </c>
      <c r="G112" s="35">
        <f>ИТОГ!H105</f>
        <v>152805.8</v>
      </c>
      <c r="H112" s="25">
        <f>ИТОГ!J105</f>
        <v>152805.8</v>
      </c>
      <c r="I112" s="35">
        <f>ИТОГ!L105</f>
        <v>100</v>
      </c>
      <c r="J112" s="35" t="e">
        <f>ИТОГ!K105</f>
        <v>#DIV/0!</v>
      </c>
      <c r="K112" s="2">
        <v>138529.3</v>
      </c>
      <c r="L112" s="72" t="e">
        <f>K112*100/F112</f>
        <v>#DIV/0!</v>
      </c>
      <c r="M112" s="525"/>
      <c r="O112" s="38"/>
    </row>
    <row r="113" spans="1:15" ht="30.75" customHeight="1">
      <c r="A113" s="503"/>
      <c r="B113" s="507"/>
      <c r="C113" s="503"/>
      <c r="D113" s="503"/>
      <c r="E113" s="37" t="s">
        <v>44</v>
      </c>
      <c r="F113" s="33" t="e">
        <f>ИТОГ!#REF!</f>
        <v>#REF!</v>
      </c>
      <c r="G113" s="35" t="e">
        <f>ИТОГ!#REF!</f>
        <v>#REF!</v>
      </c>
      <c r="H113" s="25" t="e">
        <f>ИТОГ!#REF!</f>
        <v>#REF!</v>
      </c>
      <c r="I113" s="35" t="e">
        <f>ИТОГ!#REF!</f>
        <v>#REF!</v>
      </c>
      <c r="J113" s="35" t="e">
        <f>ИТОГ!#REF!</f>
        <v>#REF!</v>
      </c>
      <c r="K113" s="2">
        <v>24855.8</v>
      </c>
      <c r="L113" s="72" t="e">
        <f>K113*100/F113</f>
        <v>#REF!</v>
      </c>
      <c r="M113" s="526"/>
      <c r="O113" s="38"/>
    </row>
    <row r="114" spans="1:15" ht="12.75">
      <c r="A114" s="503">
        <v>15</v>
      </c>
      <c r="B114" s="507" t="s">
        <v>70</v>
      </c>
      <c r="C114" s="517" t="s">
        <v>143</v>
      </c>
      <c r="D114" s="505" t="s">
        <v>95</v>
      </c>
      <c r="E114" s="47" t="s">
        <v>26</v>
      </c>
      <c r="F114" s="30">
        <f>ИТОГ!G106</f>
        <v>16376.2</v>
      </c>
      <c r="G114" s="30">
        <f>ИТОГ!H106</f>
        <v>25338873.9</v>
      </c>
      <c r="H114" s="18">
        <f>ИТОГ!J106</f>
        <v>1934166.7000000002</v>
      </c>
      <c r="I114" s="31">
        <f>ИТОГ!L106</f>
        <v>7.6331991217652355</v>
      </c>
      <c r="J114" s="31">
        <f>ИТОГ!K106</f>
        <v>11810.839510997668</v>
      </c>
      <c r="K114" s="32">
        <f>SUM(K116:K120)</f>
        <v>25320688.6</v>
      </c>
      <c r="L114" s="71">
        <f>K114*100/F114</f>
        <v>154618.82854386242</v>
      </c>
      <c r="M114" s="508" t="s">
        <v>168</v>
      </c>
      <c r="O114" s="38"/>
    </row>
    <row r="115" spans="1:15" ht="12.75">
      <c r="A115" s="503"/>
      <c r="B115" s="507"/>
      <c r="C115" s="518"/>
      <c r="D115" s="505"/>
      <c r="E115" s="20" t="s">
        <v>29</v>
      </c>
      <c r="F115" s="86"/>
      <c r="G115" s="86"/>
      <c r="H115" s="86"/>
      <c r="I115" s="86"/>
      <c r="J115" s="87"/>
      <c r="K115" s="86"/>
      <c r="L115" s="88"/>
      <c r="M115" s="509"/>
      <c r="O115" s="38"/>
    </row>
    <row r="116" spans="1:15" ht="12.75">
      <c r="A116" s="503"/>
      <c r="B116" s="507"/>
      <c r="C116" s="518"/>
      <c r="D116" s="503"/>
      <c r="E116" s="34" t="s">
        <v>27</v>
      </c>
      <c r="F116" s="33">
        <f>ИТОГ!G108</f>
        <v>0</v>
      </c>
      <c r="G116" s="35">
        <f>ИТОГ!H108</f>
        <v>48858.8</v>
      </c>
      <c r="H116" s="25">
        <f>ИТОГ!J108</f>
        <v>28697.1</v>
      </c>
      <c r="I116" s="35">
        <f>ИТОГ!L108</f>
        <v>58.73476221274366</v>
      </c>
      <c r="J116" s="35" t="e">
        <f>ИТОГ!K108</f>
        <v>#DIV/0!</v>
      </c>
      <c r="K116" s="36">
        <v>41664.7</v>
      </c>
      <c r="L116" s="91" t="e">
        <f aca="true" t="shared" si="6" ref="L116:L121">K116*100/F116</f>
        <v>#DIV/0!</v>
      </c>
      <c r="M116" s="509"/>
      <c r="O116" s="38"/>
    </row>
    <row r="117" spans="1:15" ht="12.75">
      <c r="A117" s="503"/>
      <c r="B117" s="507"/>
      <c r="C117" s="518"/>
      <c r="D117" s="503"/>
      <c r="E117" s="26" t="s">
        <v>30</v>
      </c>
      <c r="F117" s="33">
        <f>ИТОГ!G109</f>
        <v>0</v>
      </c>
      <c r="G117" s="35">
        <f>ИТОГ!H109</f>
        <v>1185530.1</v>
      </c>
      <c r="H117" s="25">
        <f>ИТОГ!J109</f>
        <v>918729.5</v>
      </c>
      <c r="I117" s="35">
        <f>ИТОГ!L109</f>
        <v>77.4952487499052</v>
      </c>
      <c r="J117" s="35" t="e">
        <f>ИТОГ!K109</f>
        <v>#DIV/0!</v>
      </c>
      <c r="K117" s="2">
        <v>1174538.9</v>
      </c>
      <c r="L117" s="72" t="e">
        <f t="shared" si="6"/>
        <v>#DIV/0!</v>
      </c>
      <c r="M117" s="509"/>
      <c r="O117" s="38"/>
    </row>
    <row r="118" spans="1:15" ht="25.5">
      <c r="A118" s="503"/>
      <c r="B118" s="507"/>
      <c r="C118" s="518"/>
      <c r="D118" s="503"/>
      <c r="E118" s="26" t="s">
        <v>38</v>
      </c>
      <c r="F118" s="33">
        <f>ИТОГ!G111</f>
        <v>0</v>
      </c>
      <c r="G118" s="35">
        <f>ИТОГ!H111</f>
        <v>35238</v>
      </c>
      <c r="H118" s="25">
        <f>ИТОГ!J111</f>
        <v>27118.3</v>
      </c>
      <c r="I118" s="35">
        <f>ИТОГ!L111</f>
        <v>76.95754583120495</v>
      </c>
      <c r="J118" s="35" t="e">
        <f>ИТОГ!K111</f>
        <v>#DIV/0!</v>
      </c>
      <c r="K118" s="2">
        <v>35238</v>
      </c>
      <c r="L118" s="72" t="e">
        <f t="shared" si="6"/>
        <v>#DIV/0!</v>
      </c>
      <c r="M118" s="509"/>
      <c r="O118" s="38"/>
    </row>
    <row r="119" spans="1:15" ht="12.75">
      <c r="A119" s="503"/>
      <c r="B119" s="507"/>
      <c r="C119" s="518"/>
      <c r="D119" s="503"/>
      <c r="E119" s="26" t="s">
        <v>23</v>
      </c>
      <c r="F119" s="33">
        <f>ИТОГ!G112</f>
        <v>0</v>
      </c>
      <c r="G119" s="35">
        <f>ИТОГ!H112</f>
        <v>959624</v>
      </c>
      <c r="H119" s="25">
        <f>ИТОГ!J112</f>
        <v>959621.8</v>
      </c>
      <c r="I119" s="35">
        <f>ИТОГ!L112</f>
        <v>99.99977074354122</v>
      </c>
      <c r="J119" s="35" t="e">
        <f>ИТОГ!K112</f>
        <v>#DIV/0!</v>
      </c>
      <c r="K119" s="2">
        <v>959624</v>
      </c>
      <c r="L119" s="72">
        <v>100</v>
      </c>
      <c r="M119" s="509"/>
      <c r="O119" s="38"/>
    </row>
    <row r="120" spans="1:15" ht="12.75">
      <c r="A120" s="503"/>
      <c r="B120" s="507"/>
      <c r="C120" s="519"/>
      <c r="D120" s="503"/>
      <c r="E120" s="26" t="s">
        <v>44</v>
      </c>
      <c r="F120" s="33" t="e">
        <f>ИТОГ!#REF!</f>
        <v>#REF!</v>
      </c>
      <c r="G120" s="35" t="e">
        <f>ИТОГ!#REF!</f>
        <v>#REF!</v>
      </c>
      <c r="H120" s="25" t="e">
        <f>ИТОГ!#REF!</f>
        <v>#REF!</v>
      </c>
      <c r="I120" s="35" t="e">
        <f>ИТОГ!#REF!</f>
        <v>#REF!</v>
      </c>
      <c r="J120" s="35" t="e">
        <f>ИТОГ!#REF!</f>
        <v>#REF!</v>
      </c>
      <c r="K120" s="2">
        <v>23109623</v>
      </c>
      <c r="L120" s="72" t="e">
        <f t="shared" si="6"/>
        <v>#REF!</v>
      </c>
      <c r="M120" s="510"/>
      <c r="O120" s="38"/>
    </row>
    <row r="121" spans="1:15" ht="12.75">
      <c r="A121" s="503">
        <v>16</v>
      </c>
      <c r="B121" s="507" t="s">
        <v>71</v>
      </c>
      <c r="C121" s="503" t="s">
        <v>105</v>
      </c>
      <c r="D121" s="503" t="s">
        <v>35</v>
      </c>
      <c r="E121" s="47" t="s">
        <v>26</v>
      </c>
      <c r="F121" s="30">
        <f>ИТОГ!G113</f>
        <v>144859.93</v>
      </c>
      <c r="G121" s="30">
        <f>ИТОГ!H113</f>
        <v>5712248.1</v>
      </c>
      <c r="H121" s="18">
        <f>ИТОГ!J113</f>
        <v>3242280.4</v>
      </c>
      <c r="I121" s="31">
        <f>ИТОГ!L113</f>
        <v>56.76014667500174</v>
      </c>
      <c r="J121" s="31">
        <f>ИТОГ!K113</f>
        <v>2238.217566445048</v>
      </c>
      <c r="K121" s="32">
        <f>SUM(K123:K127)</f>
        <v>5195954.1</v>
      </c>
      <c r="L121" s="71">
        <f t="shared" si="6"/>
        <v>3586.881548265279</v>
      </c>
      <c r="M121" s="524" t="s">
        <v>167</v>
      </c>
      <c r="O121" s="38"/>
    </row>
    <row r="122" spans="1:15" ht="12.75">
      <c r="A122" s="503"/>
      <c r="B122" s="507" t="e">
        <v>#REF!</v>
      </c>
      <c r="C122" s="503"/>
      <c r="D122" s="505"/>
      <c r="E122" s="20" t="s">
        <v>29</v>
      </c>
      <c r="F122" s="86"/>
      <c r="G122" s="86"/>
      <c r="H122" s="86"/>
      <c r="I122" s="86"/>
      <c r="J122" s="87"/>
      <c r="K122" s="86"/>
      <c r="L122" s="88"/>
      <c r="M122" s="525"/>
      <c r="O122" s="38"/>
    </row>
    <row r="123" spans="1:15" ht="12.75">
      <c r="A123" s="503"/>
      <c r="B123" s="507"/>
      <c r="C123" s="503"/>
      <c r="D123" s="503"/>
      <c r="E123" s="34" t="s">
        <v>27</v>
      </c>
      <c r="F123" s="33">
        <f>ИТОГ!G115</f>
        <v>0</v>
      </c>
      <c r="G123" s="35">
        <f>ИТОГ!H115</f>
        <v>379417.4</v>
      </c>
      <c r="H123" s="25">
        <f>ИТОГ!J115</f>
        <v>236770.6</v>
      </c>
      <c r="I123" s="35">
        <f>ИТОГ!L115</f>
        <v>62.40372739890157</v>
      </c>
      <c r="J123" s="35" t="e">
        <f>ИТОГ!K115</f>
        <v>#DIV/0!</v>
      </c>
      <c r="K123" s="36">
        <v>329417.5</v>
      </c>
      <c r="L123" s="72" t="e">
        <f>K123*100/F123</f>
        <v>#DIV/0!</v>
      </c>
      <c r="M123" s="525"/>
      <c r="O123" s="38"/>
    </row>
    <row r="124" spans="1:15" ht="12.75">
      <c r="A124" s="503"/>
      <c r="B124" s="507" t="s">
        <v>41</v>
      </c>
      <c r="C124" s="503"/>
      <c r="D124" s="503"/>
      <c r="E124" s="26" t="s">
        <v>30</v>
      </c>
      <c r="F124" s="33">
        <f>ИТОГ!G116</f>
        <v>33854.08</v>
      </c>
      <c r="G124" s="35">
        <f>ИТОГ!H116</f>
        <v>3648385.5</v>
      </c>
      <c r="H124" s="25">
        <f>ИТОГ!J116</f>
        <v>2944629.5</v>
      </c>
      <c r="I124" s="35">
        <f>ИТОГ!L116</f>
        <v>80.71048138964481</v>
      </c>
      <c r="J124" s="35">
        <f>ИТОГ!K116</f>
        <v>8698.004789969185</v>
      </c>
      <c r="K124" s="2">
        <v>3182091.4</v>
      </c>
      <c r="L124" s="72">
        <f>K124*100/F124</f>
        <v>9399.432505624138</v>
      </c>
      <c r="M124" s="525"/>
      <c r="O124" s="38"/>
    </row>
    <row r="125" spans="1:15" ht="25.5">
      <c r="A125" s="503"/>
      <c r="B125" s="507">
        <v>0</v>
      </c>
      <c r="C125" s="503"/>
      <c r="D125" s="503"/>
      <c r="E125" s="26" t="s">
        <v>38</v>
      </c>
      <c r="F125" s="33">
        <f>ИТОГ!G118</f>
        <v>0</v>
      </c>
      <c r="G125" s="35">
        <f>ИТОГ!H118</f>
        <v>112626.2</v>
      </c>
      <c r="H125" s="25">
        <f>ИТОГ!J118</f>
        <v>60880.3</v>
      </c>
      <c r="I125" s="35">
        <f>ИТОГ!L118</f>
        <v>54.05518431768097</v>
      </c>
      <c r="J125" s="35" t="e">
        <f>ИТОГ!K118</f>
        <v>#DIV/0!</v>
      </c>
      <c r="K125" s="2">
        <v>112626.2</v>
      </c>
      <c r="L125" s="72" t="e">
        <f>K125*100/F125</f>
        <v>#DIV/0!</v>
      </c>
      <c r="M125" s="525"/>
      <c r="O125" s="38"/>
    </row>
    <row r="126" spans="1:15" ht="12.75">
      <c r="A126" s="503"/>
      <c r="B126" s="507">
        <v>0</v>
      </c>
      <c r="C126" s="503"/>
      <c r="D126" s="503"/>
      <c r="E126" s="26" t="s">
        <v>23</v>
      </c>
      <c r="F126" s="33">
        <f>ИТОГ!G119</f>
        <v>0</v>
      </c>
      <c r="G126" s="35">
        <f>ИТОГ!H119</f>
        <v>0</v>
      </c>
      <c r="H126" s="25">
        <f>ИТОГ!J119</f>
        <v>0</v>
      </c>
      <c r="I126" s="35">
        <f>ИТОГ!L119</f>
        <v>0</v>
      </c>
      <c r="J126" s="35">
        <f>ИТОГ!K119</f>
        <v>0</v>
      </c>
      <c r="K126" s="2">
        <v>0</v>
      </c>
      <c r="L126" s="80">
        <v>0</v>
      </c>
      <c r="M126" s="525"/>
      <c r="O126" s="38"/>
    </row>
    <row r="127" spans="1:15" ht="44.25" customHeight="1">
      <c r="A127" s="503"/>
      <c r="B127" s="507">
        <v>0</v>
      </c>
      <c r="C127" s="503"/>
      <c r="D127" s="503"/>
      <c r="E127" s="26" t="s">
        <v>44</v>
      </c>
      <c r="F127" s="33" t="e">
        <f>ИТОГ!#REF!</f>
        <v>#REF!</v>
      </c>
      <c r="G127" s="35" t="e">
        <f>ИТОГ!#REF!</f>
        <v>#REF!</v>
      </c>
      <c r="H127" s="25" t="e">
        <f>ИТОГ!#REF!</f>
        <v>#REF!</v>
      </c>
      <c r="I127" s="35" t="e">
        <f>ИТОГ!#REF!</f>
        <v>#REF!</v>
      </c>
      <c r="J127" s="35" t="e">
        <f>ИТОГ!#REF!</f>
        <v>#REF!</v>
      </c>
      <c r="K127" s="2">
        <v>1571819</v>
      </c>
      <c r="L127" s="72" t="e">
        <f>K127*100/F127</f>
        <v>#REF!</v>
      </c>
      <c r="M127" s="526"/>
      <c r="O127" s="38"/>
    </row>
    <row r="128" spans="1:15" ht="12.75">
      <c r="A128" s="503">
        <v>17</v>
      </c>
      <c r="B128" s="507" t="s">
        <v>72</v>
      </c>
      <c r="C128" s="503" t="s">
        <v>144</v>
      </c>
      <c r="D128" s="503" t="s">
        <v>36</v>
      </c>
      <c r="E128" s="47" t="s">
        <v>26</v>
      </c>
      <c r="F128" s="30">
        <f>ИТОГ!G120</f>
        <v>1138.05</v>
      </c>
      <c r="G128" s="30">
        <f>ИТОГ!H120</f>
        <v>571369.3</v>
      </c>
      <c r="H128" s="18">
        <f>ИТОГ!J120</f>
        <v>385796.7</v>
      </c>
      <c r="I128" s="31">
        <f>ИТОГ!L120</f>
        <v>67.52142615992844</v>
      </c>
      <c r="J128" s="31">
        <f>ИТОГ!K120</f>
        <v>33899.8022933966</v>
      </c>
      <c r="K128" s="32">
        <f>SUM(K130:K134)</f>
        <v>561492.5</v>
      </c>
      <c r="L128" s="71">
        <f>K128*100/F128</f>
        <v>49338.122226615706</v>
      </c>
      <c r="M128" s="524" t="s">
        <v>154</v>
      </c>
      <c r="O128" s="38"/>
    </row>
    <row r="129" spans="1:15" ht="12.75">
      <c r="A129" s="503"/>
      <c r="B129" s="507" t="e">
        <v>#REF!</v>
      </c>
      <c r="C129" s="503"/>
      <c r="D129" s="505"/>
      <c r="E129" s="20" t="s">
        <v>29</v>
      </c>
      <c r="F129" s="86"/>
      <c r="G129" s="86"/>
      <c r="H129" s="86"/>
      <c r="I129" s="86"/>
      <c r="J129" s="87"/>
      <c r="K129" s="86"/>
      <c r="L129" s="88"/>
      <c r="M129" s="525"/>
      <c r="O129" s="38"/>
    </row>
    <row r="130" spans="1:15" ht="12.75">
      <c r="A130" s="503"/>
      <c r="B130" s="507"/>
      <c r="C130" s="503"/>
      <c r="D130" s="503"/>
      <c r="E130" s="34" t="s">
        <v>27</v>
      </c>
      <c r="F130" s="33">
        <f>ИТОГ!G122</f>
        <v>0</v>
      </c>
      <c r="G130" s="35">
        <f>ИТОГ!H122</f>
        <v>7500</v>
      </c>
      <c r="H130" s="25">
        <f>ИТОГ!J122</f>
        <v>6684.9</v>
      </c>
      <c r="I130" s="35">
        <f>ИТОГ!L122</f>
        <v>89.132</v>
      </c>
      <c r="J130" s="35" t="e">
        <f>ИТОГ!K122</f>
        <v>#DIV/0!</v>
      </c>
      <c r="K130" s="36">
        <v>7500</v>
      </c>
      <c r="L130" s="72" t="e">
        <f>K130*100/F130</f>
        <v>#DIV/0!</v>
      </c>
      <c r="M130" s="525"/>
      <c r="O130" s="38"/>
    </row>
    <row r="131" spans="1:15" ht="12.75">
      <c r="A131" s="503"/>
      <c r="B131" s="507"/>
      <c r="C131" s="503"/>
      <c r="D131" s="503"/>
      <c r="E131" s="26" t="s">
        <v>30</v>
      </c>
      <c r="F131" s="33">
        <f>ИТОГ!G123</f>
        <v>0</v>
      </c>
      <c r="G131" s="35">
        <f>ИТОГ!H123</f>
        <v>563869.3</v>
      </c>
      <c r="H131" s="25">
        <f>ИТОГ!J123</f>
        <v>379111.8</v>
      </c>
      <c r="I131" s="35">
        <f>ИТОГ!L123</f>
        <v>67.23398489685464</v>
      </c>
      <c r="J131" s="35" t="e">
        <f>ИТОГ!K123</f>
        <v>#DIV/0!</v>
      </c>
      <c r="K131" s="2">
        <v>553992.5</v>
      </c>
      <c r="L131" s="72" t="e">
        <f>K131*100/F131</f>
        <v>#DIV/0!</v>
      </c>
      <c r="M131" s="525"/>
      <c r="O131" s="38"/>
    </row>
    <row r="132" spans="1:15" ht="25.5">
      <c r="A132" s="503"/>
      <c r="B132" s="507"/>
      <c r="C132" s="503"/>
      <c r="D132" s="503"/>
      <c r="E132" s="26" t="s">
        <v>38</v>
      </c>
      <c r="F132" s="33">
        <f>ИТОГ!G125</f>
        <v>0</v>
      </c>
      <c r="G132" s="35">
        <f>ИТОГ!H125</f>
        <v>0</v>
      </c>
      <c r="H132" s="25">
        <f>ИТОГ!J125</f>
        <v>0</v>
      </c>
      <c r="I132" s="35">
        <f>ИТОГ!L125</f>
        <v>0</v>
      </c>
      <c r="J132" s="35">
        <f>ИТОГ!K125</f>
        <v>0</v>
      </c>
      <c r="K132" s="2">
        <v>0</v>
      </c>
      <c r="L132" s="80">
        <v>0</v>
      </c>
      <c r="M132" s="525"/>
      <c r="O132" s="38"/>
    </row>
    <row r="133" spans="1:15" ht="12.75">
      <c r="A133" s="503"/>
      <c r="B133" s="507"/>
      <c r="C133" s="503"/>
      <c r="D133" s="503"/>
      <c r="E133" s="26" t="s">
        <v>23</v>
      </c>
      <c r="F133" s="33">
        <f>ИТОГ!G126</f>
        <v>0</v>
      </c>
      <c r="G133" s="35">
        <f>ИТОГ!H126</f>
        <v>0</v>
      </c>
      <c r="H133" s="25">
        <f>ИТОГ!J126</f>
        <v>0</v>
      </c>
      <c r="I133" s="35">
        <f>ИТОГ!L126</f>
        <v>0</v>
      </c>
      <c r="J133" s="35">
        <f>ИТОГ!K126</f>
        <v>0</v>
      </c>
      <c r="K133" s="2">
        <v>0</v>
      </c>
      <c r="L133" s="80">
        <v>0</v>
      </c>
      <c r="M133" s="525"/>
      <c r="O133" s="38"/>
    </row>
    <row r="134" spans="1:15" ht="12.75">
      <c r="A134" s="503"/>
      <c r="B134" s="507" t="s">
        <v>46</v>
      </c>
      <c r="C134" s="503"/>
      <c r="D134" s="503"/>
      <c r="E134" s="26" t="s">
        <v>44</v>
      </c>
      <c r="F134" s="33" t="e">
        <f>ИТОГ!#REF!</f>
        <v>#REF!</v>
      </c>
      <c r="G134" s="35" t="e">
        <f>ИТОГ!#REF!</f>
        <v>#REF!</v>
      </c>
      <c r="H134" s="25" t="e">
        <f>ИТОГ!#REF!</f>
        <v>#REF!</v>
      </c>
      <c r="I134" s="35" t="e">
        <f>ИТОГ!#REF!</f>
        <v>#REF!</v>
      </c>
      <c r="J134" s="35" t="e">
        <f>ИТОГ!#REF!</f>
        <v>#REF!</v>
      </c>
      <c r="K134" s="2">
        <v>0</v>
      </c>
      <c r="L134" s="80">
        <v>0</v>
      </c>
      <c r="M134" s="526"/>
      <c r="O134" s="38"/>
    </row>
    <row r="135" spans="1:15" ht="12.75">
      <c r="A135" s="517">
        <v>18</v>
      </c>
      <c r="B135" s="520" t="s">
        <v>54</v>
      </c>
      <c r="C135" s="517" t="s">
        <v>117</v>
      </c>
      <c r="D135" s="517" t="s">
        <v>12</v>
      </c>
      <c r="E135" s="47" t="s">
        <v>26</v>
      </c>
      <c r="F135" s="30">
        <f>ИТОГ!G127</f>
        <v>769.53</v>
      </c>
      <c r="G135" s="30">
        <f>ИТОГ!H127</f>
        <v>14400455</v>
      </c>
      <c r="H135" s="18">
        <f>ИТОГ!J127</f>
        <v>7090491.699999999</v>
      </c>
      <c r="I135" s="31">
        <f>ИТОГ!L127</f>
        <v>49.23796991136737</v>
      </c>
      <c r="J135" s="31">
        <f>ИТОГ!K127</f>
        <v>921405.4942627318</v>
      </c>
      <c r="K135" s="32">
        <f>K138+K139+K140+K141+K142</f>
        <v>13000935.100000001</v>
      </c>
      <c r="L135" s="71">
        <f>K135*100/F135</f>
        <v>1689464.36136343</v>
      </c>
      <c r="M135" s="534"/>
      <c r="O135" s="38"/>
    </row>
    <row r="136" spans="1:15" ht="12.75">
      <c r="A136" s="518"/>
      <c r="B136" s="521"/>
      <c r="C136" s="518"/>
      <c r="D136" s="518"/>
      <c r="E136" s="20" t="s">
        <v>29</v>
      </c>
      <c r="F136" s="86"/>
      <c r="G136" s="86"/>
      <c r="H136" s="86"/>
      <c r="I136" s="86"/>
      <c r="J136" s="87"/>
      <c r="K136" s="86"/>
      <c r="L136" s="88"/>
      <c r="M136" s="535"/>
      <c r="O136" s="38"/>
    </row>
    <row r="137" spans="1:15" ht="12.75">
      <c r="A137" s="518"/>
      <c r="B137" s="521"/>
      <c r="C137" s="518"/>
      <c r="D137" s="518"/>
      <c r="E137" s="34" t="s">
        <v>27</v>
      </c>
      <c r="F137" s="33">
        <f>ИТОГ!G129</f>
        <v>0</v>
      </c>
      <c r="G137" s="33">
        <f>ИТОГ!H129</f>
        <v>0</v>
      </c>
      <c r="H137" s="25">
        <f>ИТОГ!J129</f>
        <v>0</v>
      </c>
      <c r="I137" s="35">
        <f>ИТОГ!L129</f>
        <v>0</v>
      </c>
      <c r="J137" s="35">
        <f>ИТОГ!K129</f>
        <v>0</v>
      </c>
      <c r="K137" s="36">
        <v>0</v>
      </c>
      <c r="L137" s="80">
        <v>0</v>
      </c>
      <c r="M137" s="535"/>
      <c r="O137" s="38"/>
    </row>
    <row r="138" spans="1:15" ht="12.75">
      <c r="A138" s="518"/>
      <c r="B138" s="521"/>
      <c r="C138" s="518"/>
      <c r="D138" s="518"/>
      <c r="E138" s="37" t="s">
        <v>30</v>
      </c>
      <c r="F138" s="33">
        <f>ИТОГ!G130</f>
        <v>0</v>
      </c>
      <c r="G138" s="35">
        <f>ИТОГ!H130</f>
        <v>7844228.7</v>
      </c>
      <c r="H138" s="25">
        <f>ИТОГ!J130</f>
        <v>6720355.1</v>
      </c>
      <c r="I138" s="35">
        <f>ИТОГ!L130</f>
        <v>85.67260538948845</v>
      </c>
      <c r="J138" s="35" t="e">
        <f>ИТОГ!K130</f>
        <v>#DIV/0!</v>
      </c>
      <c r="K138" s="2">
        <v>7711268.9</v>
      </c>
      <c r="L138" s="72" t="e">
        <f>K138*100/F138</f>
        <v>#DIV/0!</v>
      </c>
      <c r="M138" s="535"/>
      <c r="O138" s="38"/>
    </row>
    <row r="139" spans="1:15" ht="12.75">
      <c r="A139" s="518"/>
      <c r="B139" s="521"/>
      <c r="C139" s="518"/>
      <c r="D139" s="518"/>
      <c r="E139" s="52" t="s">
        <v>118</v>
      </c>
      <c r="F139" s="33">
        <f>ИТОГ!G132</f>
        <v>0</v>
      </c>
      <c r="G139" s="33">
        <f>ИТОГ!H132</f>
        <v>241113.5</v>
      </c>
      <c r="H139" s="25">
        <f>ИТОГ!J132</f>
        <v>241113.5</v>
      </c>
      <c r="I139" s="35">
        <f>ИТОГ!L132</f>
        <v>100</v>
      </c>
      <c r="J139" s="35" t="e">
        <f>ИТОГ!K132</f>
        <v>#DIV/0!</v>
      </c>
      <c r="K139" s="2">
        <v>241113.5</v>
      </c>
      <c r="L139" s="72" t="e">
        <f>K139*100/F139</f>
        <v>#DIV/0!</v>
      </c>
      <c r="M139" s="535"/>
      <c r="O139" s="38"/>
    </row>
    <row r="140" spans="1:15" ht="25.5">
      <c r="A140" s="518"/>
      <c r="B140" s="521"/>
      <c r="C140" s="518"/>
      <c r="D140" s="518"/>
      <c r="E140" s="26" t="s">
        <v>38</v>
      </c>
      <c r="F140" s="33">
        <f>ИТОГ!G133</f>
        <v>0</v>
      </c>
      <c r="G140" s="35">
        <f>ИТОГ!H133</f>
        <v>108881</v>
      </c>
      <c r="H140" s="25">
        <f>ИТОГ!J133</f>
        <v>129023.1</v>
      </c>
      <c r="I140" s="35">
        <f>ИТОГ!L133</f>
        <v>118.49918718601042</v>
      </c>
      <c r="J140" s="35" t="e">
        <f>ИТОГ!K133</f>
        <v>#DIV/0!</v>
      </c>
      <c r="K140" s="53">
        <v>128721</v>
      </c>
      <c r="L140" s="72" t="e">
        <f>K140*100/F140</f>
        <v>#DIV/0!</v>
      </c>
      <c r="M140" s="535"/>
      <c r="O140" s="38"/>
    </row>
    <row r="141" spans="1:15" ht="12.75">
      <c r="A141" s="518"/>
      <c r="B141" s="521"/>
      <c r="C141" s="518"/>
      <c r="D141" s="518"/>
      <c r="E141" s="26" t="s">
        <v>23</v>
      </c>
      <c r="F141" s="33" t="e">
        <f>ИТОГ!#REF!</f>
        <v>#REF!</v>
      </c>
      <c r="G141" s="33" t="e">
        <f>ИТОГ!#REF!</f>
        <v>#REF!</v>
      </c>
      <c r="H141" s="25" t="e">
        <f>ИТОГ!#REF!</f>
        <v>#REF!</v>
      </c>
      <c r="I141" s="35" t="e">
        <f>ИТОГ!#REF!</f>
        <v>#REF!</v>
      </c>
      <c r="J141" s="35" t="e">
        <f>ИТОГ!#REF!</f>
        <v>#REF!</v>
      </c>
      <c r="K141" s="2">
        <v>3972252.7</v>
      </c>
      <c r="L141" s="72" t="e">
        <f>K141*100/F141</f>
        <v>#REF!</v>
      </c>
      <c r="M141" s="535"/>
      <c r="O141" s="38"/>
    </row>
    <row r="142" spans="1:15" ht="12.75">
      <c r="A142" s="518"/>
      <c r="B142" s="521"/>
      <c r="C142" s="518"/>
      <c r="D142" s="518"/>
      <c r="E142" s="26" t="s">
        <v>44</v>
      </c>
      <c r="F142" s="33" t="e">
        <f>ИТОГ!#REF!</f>
        <v>#REF!</v>
      </c>
      <c r="G142" s="33" t="e">
        <f>ИТОГ!#REF!</f>
        <v>#REF!</v>
      </c>
      <c r="H142" s="25" t="e">
        <f>ИТОГ!#REF!</f>
        <v>#REF!</v>
      </c>
      <c r="I142" s="35" t="e">
        <f>ИТОГ!#REF!</f>
        <v>#REF!</v>
      </c>
      <c r="J142" s="35" t="e">
        <f>ИТОГ!#REF!</f>
        <v>#REF!</v>
      </c>
      <c r="K142" s="2">
        <v>947579</v>
      </c>
      <c r="L142" s="72" t="e">
        <f>K142*100/F142</f>
        <v>#REF!</v>
      </c>
      <c r="M142" s="535"/>
      <c r="O142" s="38"/>
    </row>
    <row r="143" spans="1:15" ht="12.75">
      <c r="A143" s="530"/>
      <c r="B143" s="532"/>
      <c r="C143" s="530"/>
      <c r="D143" s="530"/>
      <c r="E143" s="54" t="s">
        <v>131</v>
      </c>
      <c r="F143" s="55"/>
      <c r="G143" s="55"/>
      <c r="H143" s="55"/>
      <c r="I143" s="55"/>
      <c r="J143" s="56"/>
      <c r="K143" s="56"/>
      <c r="L143" s="81"/>
      <c r="M143" s="536"/>
      <c r="O143" s="38"/>
    </row>
    <row r="144" spans="1:15" ht="25.5">
      <c r="A144" s="531"/>
      <c r="B144" s="533"/>
      <c r="C144" s="531"/>
      <c r="D144" s="531"/>
      <c r="E144" s="26" t="s">
        <v>77</v>
      </c>
      <c r="F144" s="33" t="e">
        <f>ИТОГ!#REF!</f>
        <v>#REF!</v>
      </c>
      <c r="G144" s="33" t="e">
        <f>ИТОГ!#REF!</f>
        <v>#REF!</v>
      </c>
      <c r="H144" s="25" t="e">
        <f>ИТОГ!#REF!</f>
        <v>#REF!</v>
      </c>
      <c r="I144" s="35" t="e">
        <f>ИТОГ!#REF!</f>
        <v>#REF!</v>
      </c>
      <c r="J144" s="35" t="e">
        <f>ИТОГ!#REF!</f>
        <v>#REF!</v>
      </c>
      <c r="K144" s="2">
        <v>6449847.3</v>
      </c>
      <c r="L144" s="72" t="e">
        <f>K144*100/F144</f>
        <v>#REF!</v>
      </c>
      <c r="M144" s="537"/>
      <c r="O144" s="38"/>
    </row>
    <row r="145" spans="1:15" ht="12.75">
      <c r="A145" s="503">
        <v>19</v>
      </c>
      <c r="B145" s="507" t="s">
        <v>55</v>
      </c>
      <c r="C145" s="503" t="s">
        <v>107</v>
      </c>
      <c r="D145" s="503" t="s">
        <v>48</v>
      </c>
      <c r="E145" s="29" t="s">
        <v>26</v>
      </c>
      <c r="F145" s="30">
        <f>ИТОГ!G134</f>
        <v>19752.65</v>
      </c>
      <c r="G145" s="30">
        <f>ИТОГ!H134</f>
        <v>1965135.6</v>
      </c>
      <c r="H145" s="18">
        <f>ИТОГ!J134</f>
        <v>592030.8</v>
      </c>
      <c r="I145" s="31">
        <f>ИТОГ!L134</f>
        <v>30.126714919825382</v>
      </c>
      <c r="J145" s="31">
        <f>ИТОГ!K134</f>
        <v>2997.222144876763</v>
      </c>
      <c r="K145" s="32">
        <f>SUM(K147:K151)</f>
        <v>756146.2</v>
      </c>
      <c r="L145" s="71">
        <f>K145*100/F145</f>
        <v>3828.0747140257126</v>
      </c>
      <c r="M145" s="527" t="s">
        <v>155</v>
      </c>
      <c r="O145" s="38"/>
    </row>
    <row r="146" spans="1:15" ht="12.75">
      <c r="A146" s="503"/>
      <c r="B146" s="507" t="e">
        <v>#REF!</v>
      </c>
      <c r="C146" s="503"/>
      <c r="D146" s="505"/>
      <c r="E146" s="20" t="s">
        <v>29</v>
      </c>
      <c r="F146" s="86"/>
      <c r="G146" s="86"/>
      <c r="H146" s="86"/>
      <c r="I146" s="86"/>
      <c r="J146" s="87"/>
      <c r="K146" s="86"/>
      <c r="L146" s="88"/>
      <c r="M146" s="528"/>
      <c r="O146" s="38"/>
    </row>
    <row r="147" spans="1:15" ht="12.75">
      <c r="A147" s="503"/>
      <c r="B147" s="507"/>
      <c r="C147" s="503"/>
      <c r="D147" s="503"/>
      <c r="E147" s="34" t="s">
        <v>27</v>
      </c>
      <c r="F147" s="33">
        <f>ИТОГ!G136</f>
        <v>0</v>
      </c>
      <c r="G147" s="35">
        <f>ИТОГ!H136</f>
        <v>0</v>
      </c>
      <c r="H147" s="25">
        <f>ИТОГ!J136</f>
        <v>0</v>
      </c>
      <c r="I147" s="35">
        <f>ИТОГ!L136</f>
        <v>0</v>
      </c>
      <c r="J147" s="35">
        <f>ИТОГ!K136</f>
        <v>0</v>
      </c>
      <c r="K147" s="36">
        <v>0</v>
      </c>
      <c r="L147" s="80">
        <v>0</v>
      </c>
      <c r="M147" s="528"/>
      <c r="O147" s="38"/>
    </row>
    <row r="148" spans="1:15" ht="12.75">
      <c r="A148" s="503"/>
      <c r="B148" s="507" t="s">
        <v>42</v>
      </c>
      <c r="C148" s="503"/>
      <c r="D148" s="503"/>
      <c r="E148" s="26" t="s">
        <v>3</v>
      </c>
      <c r="F148" s="33">
        <f>ИТОГ!G137</f>
        <v>6911.4</v>
      </c>
      <c r="G148" s="35">
        <f>ИТОГ!H137</f>
        <v>1965135.6</v>
      </c>
      <c r="H148" s="25">
        <f>ИТОГ!J137</f>
        <v>592030.8</v>
      </c>
      <c r="I148" s="35">
        <f>ИТОГ!L137</f>
        <v>30.126714919825382</v>
      </c>
      <c r="J148" s="35">
        <f>ИТОГ!K137</f>
        <v>8566.003993402206</v>
      </c>
      <c r="K148" s="2">
        <v>756146.2</v>
      </c>
      <c r="L148" s="72">
        <f>K148*100/F148</f>
        <v>10940.564863848136</v>
      </c>
      <c r="M148" s="528"/>
      <c r="O148" s="38"/>
    </row>
    <row r="149" spans="1:15" ht="25.5">
      <c r="A149" s="503"/>
      <c r="B149" s="507">
        <v>0</v>
      </c>
      <c r="C149" s="503"/>
      <c r="D149" s="503"/>
      <c r="E149" s="26" t="s">
        <v>38</v>
      </c>
      <c r="F149" s="33">
        <f>ИТОГ!G139</f>
        <v>0</v>
      </c>
      <c r="G149" s="35">
        <f>ИТОГ!H139</f>
        <v>0</v>
      </c>
      <c r="H149" s="25">
        <f>ИТОГ!J139</f>
        <v>0</v>
      </c>
      <c r="I149" s="35">
        <f>ИТОГ!L139</f>
        <v>0</v>
      </c>
      <c r="J149" s="35">
        <f>ИТОГ!K139</f>
        <v>0</v>
      </c>
      <c r="K149" s="2">
        <v>0</v>
      </c>
      <c r="L149" s="80">
        <v>0</v>
      </c>
      <c r="M149" s="528"/>
      <c r="O149" s="38"/>
    </row>
    <row r="150" spans="1:15" ht="12.75">
      <c r="A150" s="503"/>
      <c r="B150" s="507">
        <v>0</v>
      </c>
      <c r="C150" s="503"/>
      <c r="D150" s="503"/>
      <c r="E150" s="26" t="s">
        <v>23</v>
      </c>
      <c r="F150" s="33">
        <f>ИТОГ!G140</f>
        <v>0</v>
      </c>
      <c r="G150" s="35">
        <f>ИТОГ!H140</f>
        <v>0</v>
      </c>
      <c r="H150" s="25">
        <f>ИТОГ!J140</f>
        <v>0</v>
      </c>
      <c r="I150" s="35">
        <f>ИТОГ!L140</f>
        <v>0</v>
      </c>
      <c r="J150" s="35">
        <f>ИТОГ!K140</f>
        <v>0</v>
      </c>
      <c r="K150" s="2">
        <v>0</v>
      </c>
      <c r="L150" s="80">
        <v>0</v>
      </c>
      <c r="M150" s="528"/>
      <c r="O150" s="38"/>
    </row>
    <row r="151" spans="1:15" ht="12.75">
      <c r="A151" s="503"/>
      <c r="B151" s="507">
        <v>0</v>
      </c>
      <c r="C151" s="503"/>
      <c r="D151" s="503"/>
      <c r="E151" s="26" t="s">
        <v>44</v>
      </c>
      <c r="F151" s="33" t="e">
        <f>ИТОГ!#REF!</f>
        <v>#REF!</v>
      </c>
      <c r="G151" s="35" t="e">
        <f>ИТОГ!#REF!</f>
        <v>#REF!</v>
      </c>
      <c r="H151" s="25" t="e">
        <f>ИТОГ!#REF!</f>
        <v>#REF!</v>
      </c>
      <c r="I151" s="35" t="e">
        <f>ИТОГ!#REF!</f>
        <v>#REF!</v>
      </c>
      <c r="J151" s="35" t="e">
        <f>ИТОГ!#REF!</f>
        <v>#REF!</v>
      </c>
      <c r="K151" s="2">
        <v>0</v>
      </c>
      <c r="L151" s="80">
        <v>0</v>
      </c>
      <c r="M151" s="529"/>
      <c r="O151" s="38"/>
    </row>
    <row r="152" spans="1:15" ht="14.25" customHeight="1">
      <c r="A152" s="503">
        <v>20</v>
      </c>
      <c r="B152" s="507" t="s">
        <v>56</v>
      </c>
      <c r="C152" s="503" t="s">
        <v>119</v>
      </c>
      <c r="D152" s="503" t="s">
        <v>13</v>
      </c>
      <c r="E152" s="47" t="s">
        <v>26</v>
      </c>
      <c r="F152" s="30">
        <f>ИТОГ!G141</f>
        <v>1086</v>
      </c>
      <c r="G152" s="30">
        <f>ИТОГ!H141</f>
        <v>8018077.2</v>
      </c>
      <c r="H152" s="18">
        <f>ИТОГ!J141</f>
        <v>7313788.399999999</v>
      </c>
      <c r="I152" s="31">
        <f>ИТОГ!L141</f>
        <v>91.21623822728971</v>
      </c>
      <c r="J152" s="31">
        <f>ИТОГ!K141</f>
        <v>673461.1786372006</v>
      </c>
      <c r="K152" s="32">
        <f>SUM(K154:K158)</f>
        <v>8107220.7</v>
      </c>
      <c r="L152" s="71">
        <f>K152*100/F152</f>
        <v>746521.2430939226</v>
      </c>
      <c r="M152" s="19" t="s">
        <v>155</v>
      </c>
      <c r="N152" s="14"/>
      <c r="O152" s="38"/>
    </row>
    <row r="153" spans="1:15" ht="12.75">
      <c r="A153" s="503"/>
      <c r="B153" s="507"/>
      <c r="C153" s="503"/>
      <c r="D153" s="505"/>
      <c r="E153" s="20" t="s">
        <v>29</v>
      </c>
      <c r="F153" s="86"/>
      <c r="G153" s="86"/>
      <c r="H153" s="86"/>
      <c r="I153" s="86"/>
      <c r="J153" s="87"/>
      <c r="K153" s="86"/>
      <c r="L153" s="88"/>
      <c r="M153" s="23"/>
      <c r="N153" s="14"/>
      <c r="O153" s="38"/>
    </row>
    <row r="154" spans="1:15" ht="12.75">
      <c r="A154" s="503"/>
      <c r="B154" s="507"/>
      <c r="C154" s="503"/>
      <c r="D154" s="503"/>
      <c r="E154" s="34" t="s">
        <v>27</v>
      </c>
      <c r="F154" s="33">
        <f>ИТОГ!G143</f>
        <v>0</v>
      </c>
      <c r="G154" s="35">
        <f>ИТОГ!H143</f>
        <v>0</v>
      </c>
      <c r="H154" s="25">
        <f>ИТОГ!J143</f>
        <v>0</v>
      </c>
      <c r="I154" s="35">
        <f>ИТОГ!L143</f>
        <v>0</v>
      </c>
      <c r="J154" s="35">
        <f>ИТОГ!K143</f>
        <v>0</v>
      </c>
      <c r="K154" s="36">
        <v>0</v>
      </c>
      <c r="L154" s="80">
        <v>0</v>
      </c>
      <c r="M154" s="23"/>
      <c r="N154" s="14"/>
      <c r="O154" s="38"/>
    </row>
    <row r="155" spans="1:15" ht="12.75">
      <c r="A155" s="503"/>
      <c r="B155" s="507"/>
      <c r="C155" s="503"/>
      <c r="D155" s="503"/>
      <c r="E155" s="26" t="s">
        <v>30</v>
      </c>
      <c r="F155" s="33">
        <f>ИТОГ!G144</f>
        <v>0</v>
      </c>
      <c r="G155" s="35">
        <f>ИТОГ!H144</f>
        <v>8017823.7</v>
      </c>
      <c r="H155" s="25">
        <f>ИТОГ!J144</f>
        <v>7313570.6</v>
      </c>
      <c r="I155" s="35">
        <f>ИТОГ!L144</f>
        <v>91.21640576856285</v>
      </c>
      <c r="J155" s="35" t="e">
        <f>ИТОГ!K144</f>
        <v>#DIV/0!</v>
      </c>
      <c r="K155" s="2">
        <v>8106967.2</v>
      </c>
      <c r="L155" s="72" t="e">
        <f>K155*100/F155</f>
        <v>#DIV/0!</v>
      </c>
      <c r="M155" s="23"/>
      <c r="N155" s="14"/>
      <c r="O155" s="38"/>
    </row>
    <row r="156" spans="1:15" ht="25.5">
      <c r="A156" s="503"/>
      <c r="B156" s="507"/>
      <c r="C156" s="503"/>
      <c r="D156" s="503"/>
      <c r="E156" s="26" t="s">
        <v>38</v>
      </c>
      <c r="F156" s="33">
        <f>ИТОГ!G145</f>
        <v>1086</v>
      </c>
      <c r="G156" s="35">
        <f>ИТОГ!H145</f>
        <v>253.5</v>
      </c>
      <c r="H156" s="25">
        <f>ИТОГ!J145</f>
        <v>217.8</v>
      </c>
      <c r="I156" s="35">
        <f>ИТОГ!L145</f>
        <v>85.9171597633136</v>
      </c>
      <c r="J156" s="35">
        <f>ИТОГ!K145</f>
        <v>20.055248618784532</v>
      </c>
      <c r="K156" s="2">
        <v>253.5</v>
      </c>
      <c r="L156" s="72">
        <f>K156*100/F156</f>
        <v>23.34254143646409</v>
      </c>
      <c r="M156" s="23"/>
      <c r="N156" s="14"/>
      <c r="O156" s="38"/>
    </row>
    <row r="157" spans="1:15" ht="12.75">
      <c r="A157" s="503"/>
      <c r="B157" s="507"/>
      <c r="C157" s="503"/>
      <c r="D157" s="503"/>
      <c r="E157" s="26" t="s">
        <v>23</v>
      </c>
      <c r="F157" s="33">
        <f>ИТОГ!G146</f>
        <v>0</v>
      </c>
      <c r="G157" s="35">
        <f>ИТОГ!H146</f>
        <v>0</v>
      </c>
      <c r="H157" s="25">
        <f>ИТОГ!J146</f>
        <v>0</v>
      </c>
      <c r="I157" s="35">
        <f>ИТОГ!L146</f>
        <v>0</v>
      </c>
      <c r="J157" s="35">
        <f>ИТОГ!K146</f>
        <v>0</v>
      </c>
      <c r="K157" s="2">
        <v>0</v>
      </c>
      <c r="L157" s="80">
        <v>0</v>
      </c>
      <c r="M157" s="23"/>
      <c r="N157" s="14"/>
      <c r="O157" s="38"/>
    </row>
    <row r="158" spans="1:15" ht="12.75">
      <c r="A158" s="503"/>
      <c r="B158" s="507"/>
      <c r="C158" s="503"/>
      <c r="D158" s="503"/>
      <c r="E158" s="26" t="s">
        <v>44</v>
      </c>
      <c r="F158" s="33">
        <f>ИТОГ!G147</f>
        <v>0</v>
      </c>
      <c r="G158" s="35">
        <f>ИТОГ!H147</f>
        <v>0</v>
      </c>
      <c r="H158" s="25">
        <f>ИТОГ!J147</f>
        <v>0</v>
      </c>
      <c r="I158" s="35">
        <f>ИТОГ!L147</f>
        <v>0</v>
      </c>
      <c r="J158" s="35">
        <f>ИТОГ!K147</f>
        <v>0</v>
      </c>
      <c r="K158" s="2">
        <v>0</v>
      </c>
      <c r="L158" s="80">
        <v>0</v>
      </c>
      <c r="M158" s="28"/>
      <c r="N158" s="14"/>
      <c r="O158" s="38"/>
    </row>
    <row r="159" spans="1:15" ht="12.75">
      <c r="A159" s="517">
        <v>21</v>
      </c>
      <c r="B159" s="520" t="s">
        <v>57</v>
      </c>
      <c r="C159" s="517" t="s">
        <v>128</v>
      </c>
      <c r="D159" s="517" t="s">
        <v>94</v>
      </c>
      <c r="E159" s="47" t="s">
        <v>26</v>
      </c>
      <c r="F159" s="30" t="e">
        <f>ИТОГ!#REF!</f>
        <v>#REF!</v>
      </c>
      <c r="G159" s="30" t="e">
        <f>ИТОГ!#REF!</f>
        <v>#REF!</v>
      </c>
      <c r="H159" s="18" t="e">
        <f>ИТОГ!#REF!</f>
        <v>#REF!</v>
      </c>
      <c r="I159" s="31" t="e">
        <f>ИТОГ!#REF!</f>
        <v>#REF!</v>
      </c>
      <c r="J159" s="31" t="e">
        <f>ИТОГ!#REF!</f>
        <v>#REF!</v>
      </c>
      <c r="K159" s="32">
        <f>SUM(K161:K165)</f>
        <v>1161047.4</v>
      </c>
      <c r="L159" s="71" t="e">
        <f>K159*100/F159</f>
        <v>#REF!</v>
      </c>
      <c r="M159" s="524" t="s">
        <v>156</v>
      </c>
      <c r="O159" s="38"/>
    </row>
    <row r="160" spans="1:15" ht="12.75">
      <c r="A160" s="518"/>
      <c r="B160" s="521"/>
      <c r="C160" s="518"/>
      <c r="D160" s="523"/>
      <c r="E160" s="20" t="s">
        <v>29</v>
      </c>
      <c r="F160" s="86"/>
      <c r="G160" s="86"/>
      <c r="H160" s="86"/>
      <c r="I160" s="86"/>
      <c r="J160" s="87"/>
      <c r="K160" s="86"/>
      <c r="L160" s="88"/>
      <c r="M160" s="525"/>
      <c r="O160" s="38"/>
    </row>
    <row r="161" spans="1:15" ht="12.75">
      <c r="A161" s="518"/>
      <c r="B161" s="521"/>
      <c r="C161" s="518"/>
      <c r="D161" s="518"/>
      <c r="E161" s="34" t="s">
        <v>27</v>
      </c>
      <c r="F161" s="33" t="e">
        <f>ИТОГ!#REF!</f>
        <v>#REF!</v>
      </c>
      <c r="G161" s="35" t="e">
        <f>ИТОГ!#REF!</f>
        <v>#REF!</v>
      </c>
      <c r="H161" s="25" t="e">
        <f>ИТОГ!#REF!</f>
        <v>#REF!</v>
      </c>
      <c r="I161" s="35" t="e">
        <f>ИТОГ!#REF!</f>
        <v>#REF!</v>
      </c>
      <c r="J161" s="35" t="e">
        <f>ИТОГ!#REF!</f>
        <v>#REF!</v>
      </c>
      <c r="K161" s="4">
        <v>10000</v>
      </c>
      <c r="L161" s="72" t="e">
        <f>K161*100/F161</f>
        <v>#REF!</v>
      </c>
      <c r="M161" s="525"/>
      <c r="O161" s="38"/>
    </row>
    <row r="162" spans="1:15" ht="12.75">
      <c r="A162" s="518"/>
      <c r="B162" s="521"/>
      <c r="C162" s="518"/>
      <c r="D162" s="518"/>
      <c r="E162" s="26" t="s">
        <v>30</v>
      </c>
      <c r="F162" s="33" t="e">
        <f>ИТОГ!#REF!</f>
        <v>#REF!</v>
      </c>
      <c r="G162" s="35" t="e">
        <f>ИТОГ!#REF!</f>
        <v>#REF!</v>
      </c>
      <c r="H162" s="25" t="e">
        <f>ИТОГ!#REF!</f>
        <v>#REF!</v>
      </c>
      <c r="I162" s="35" t="e">
        <f>ИТОГ!#REF!</f>
        <v>#REF!</v>
      </c>
      <c r="J162" s="35" t="e">
        <f>ИТОГ!#REF!</f>
        <v>#REF!</v>
      </c>
      <c r="K162" s="5">
        <v>1151047.4</v>
      </c>
      <c r="L162" s="72" t="e">
        <f>K162*100/F162</f>
        <v>#REF!</v>
      </c>
      <c r="M162" s="525"/>
      <c r="O162" s="38"/>
    </row>
    <row r="163" spans="1:15" ht="25.5">
      <c r="A163" s="518"/>
      <c r="B163" s="521"/>
      <c r="C163" s="518"/>
      <c r="D163" s="518"/>
      <c r="E163" s="26" t="s">
        <v>38</v>
      </c>
      <c r="F163" s="33" t="e">
        <f>ИТОГ!#REF!</f>
        <v>#REF!</v>
      </c>
      <c r="G163" s="35" t="e">
        <f>ИТОГ!#REF!</f>
        <v>#REF!</v>
      </c>
      <c r="H163" s="25" t="e">
        <f>ИТОГ!#REF!</f>
        <v>#REF!</v>
      </c>
      <c r="I163" s="35" t="e">
        <f>ИТОГ!#REF!</f>
        <v>#REF!</v>
      </c>
      <c r="J163" s="35" t="e">
        <f>ИТОГ!#REF!</f>
        <v>#REF!</v>
      </c>
      <c r="K163" s="2">
        <v>0</v>
      </c>
      <c r="L163" s="80">
        <v>0</v>
      </c>
      <c r="M163" s="525"/>
      <c r="O163" s="38"/>
    </row>
    <row r="164" spans="1:15" ht="12.75">
      <c r="A164" s="518"/>
      <c r="B164" s="521"/>
      <c r="C164" s="518"/>
      <c r="D164" s="518"/>
      <c r="E164" s="26" t="s">
        <v>23</v>
      </c>
      <c r="F164" s="33" t="e">
        <f>ИТОГ!#REF!</f>
        <v>#REF!</v>
      </c>
      <c r="G164" s="35" t="e">
        <f>ИТОГ!#REF!</f>
        <v>#REF!</v>
      </c>
      <c r="H164" s="25" t="e">
        <f>ИТОГ!#REF!</f>
        <v>#REF!</v>
      </c>
      <c r="I164" s="35" t="e">
        <f>ИТОГ!#REF!</f>
        <v>#REF!</v>
      </c>
      <c r="J164" s="35" t="e">
        <f>ИТОГ!#REF!</f>
        <v>#REF!</v>
      </c>
      <c r="K164" s="2">
        <v>0</v>
      </c>
      <c r="L164" s="80">
        <v>0</v>
      </c>
      <c r="M164" s="525"/>
      <c r="O164" s="38"/>
    </row>
    <row r="165" spans="1:15" ht="12.75">
      <c r="A165" s="519"/>
      <c r="B165" s="522"/>
      <c r="C165" s="519"/>
      <c r="D165" s="519"/>
      <c r="E165" s="26" t="s">
        <v>44</v>
      </c>
      <c r="F165" s="33" t="e">
        <f>ИТОГ!#REF!</f>
        <v>#REF!</v>
      </c>
      <c r="G165" s="35" t="e">
        <f>ИТОГ!#REF!</f>
        <v>#REF!</v>
      </c>
      <c r="H165" s="25" t="e">
        <f>ИТОГ!#REF!</f>
        <v>#REF!</v>
      </c>
      <c r="I165" s="35" t="e">
        <f>ИТОГ!#REF!</f>
        <v>#REF!</v>
      </c>
      <c r="J165" s="35" t="e">
        <f>ИТОГ!#REF!</f>
        <v>#REF!</v>
      </c>
      <c r="K165" s="2">
        <v>0</v>
      </c>
      <c r="L165" s="80">
        <v>0</v>
      </c>
      <c r="M165" s="526"/>
      <c r="O165" s="38"/>
    </row>
    <row r="166" spans="1:15" ht="12.75">
      <c r="A166" s="517">
        <v>22</v>
      </c>
      <c r="B166" s="527" t="s">
        <v>58</v>
      </c>
      <c r="C166" s="517" t="s">
        <v>130</v>
      </c>
      <c r="D166" s="517" t="s">
        <v>14</v>
      </c>
      <c r="E166" s="47" t="s">
        <v>26</v>
      </c>
      <c r="F166" s="30" t="e">
        <f>ИТОГ!#REF!</f>
        <v>#REF!</v>
      </c>
      <c r="G166" s="30" t="e">
        <f>ИТОГ!#REF!</f>
        <v>#REF!</v>
      </c>
      <c r="H166" s="18" t="e">
        <f>ИТОГ!#REF!</f>
        <v>#REF!</v>
      </c>
      <c r="I166" s="31" t="e">
        <f>ИТОГ!#REF!</f>
        <v>#REF!</v>
      </c>
      <c r="J166" s="31" t="e">
        <f>ИТОГ!#REF!</f>
        <v>#REF!</v>
      </c>
      <c r="K166" s="32">
        <f>SUM(K168:K172)</f>
        <v>3153701.5</v>
      </c>
      <c r="L166" s="71" t="e">
        <f>K166*100/F166</f>
        <v>#REF!</v>
      </c>
      <c r="M166" s="527" t="s">
        <v>183</v>
      </c>
      <c r="O166" s="38"/>
    </row>
    <row r="167" spans="1:15" ht="12.75">
      <c r="A167" s="518"/>
      <c r="B167" s="528"/>
      <c r="C167" s="518"/>
      <c r="D167" s="523"/>
      <c r="E167" s="20" t="s">
        <v>29</v>
      </c>
      <c r="F167" s="86"/>
      <c r="G167" s="86"/>
      <c r="H167" s="86"/>
      <c r="I167" s="86"/>
      <c r="J167" s="87"/>
      <c r="K167" s="86"/>
      <c r="L167" s="88"/>
      <c r="M167" s="528"/>
      <c r="O167" s="38"/>
    </row>
    <row r="168" spans="1:15" ht="12.75">
      <c r="A168" s="518"/>
      <c r="B168" s="528"/>
      <c r="C168" s="518"/>
      <c r="D168" s="518"/>
      <c r="E168" s="34" t="s">
        <v>27</v>
      </c>
      <c r="F168" s="33" t="e">
        <f>ИТОГ!#REF!</f>
        <v>#REF!</v>
      </c>
      <c r="G168" s="35" t="e">
        <f>ИТОГ!#REF!</f>
        <v>#REF!</v>
      </c>
      <c r="H168" s="25" t="e">
        <f>ИТОГ!#REF!</f>
        <v>#REF!</v>
      </c>
      <c r="I168" s="35" t="e">
        <f>ИТОГ!#REF!</f>
        <v>#REF!</v>
      </c>
      <c r="J168" s="35" t="e">
        <f>ИТОГ!#REF!</f>
        <v>#REF!</v>
      </c>
      <c r="K168" s="36">
        <v>0</v>
      </c>
      <c r="L168" s="80">
        <v>0</v>
      </c>
      <c r="M168" s="528"/>
      <c r="O168" s="38"/>
    </row>
    <row r="169" spans="1:15" ht="12.75">
      <c r="A169" s="518"/>
      <c r="B169" s="528"/>
      <c r="C169" s="518"/>
      <c r="D169" s="518"/>
      <c r="E169" s="26" t="s">
        <v>30</v>
      </c>
      <c r="F169" s="33" t="e">
        <f>ИТОГ!#REF!</f>
        <v>#REF!</v>
      </c>
      <c r="G169" s="35" t="e">
        <f>ИТОГ!#REF!</f>
        <v>#REF!</v>
      </c>
      <c r="H169" s="25" t="e">
        <f>ИТОГ!#REF!</f>
        <v>#REF!</v>
      </c>
      <c r="I169" s="35" t="e">
        <f>ИТОГ!#REF!</f>
        <v>#REF!</v>
      </c>
      <c r="J169" s="35" t="e">
        <f>ИТОГ!#REF!</f>
        <v>#REF!</v>
      </c>
      <c r="K169" s="2">
        <v>1879289.6</v>
      </c>
      <c r="L169" s="72" t="e">
        <f>K169*100/F169</f>
        <v>#REF!</v>
      </c>
      <c r="M169" s="528"/>
      <c r="O169" s="38"/>
    </row>
    <row r="170" spans="1:15" ht="25.5">
      <c r="A170" s="518"/>
      <c r="B170" s="528"/>
      <c r="C170" s="518"/>
      <c r="D170" s="518"/>
      <c r="E170" s="26" t="s">
        <v>37</v>
      </c>
      <c r="F170" s="33" t="e">
        <f>ИТОГ!#REF!</f>
        <v>#REF!</v>
      </c>
      <c r="G170" s="35" t="e">
        <f>ИТОГ!#REF!</f>
        <v>#REF!</v>
      </c>
      <c r="H170" s="25" t="e">
        <f>ИТОГ!#REF!</f>
        <v>#REF!</v>
      </c>
      <c r="I170" s="35" t="e">
        <f>ИТОГ!#REF!</f>
        <v>#REF!</v>
      </c>
      <c r="J170" s="35" t="e">
        <f>ИТОГ!#REF!</f>
        <v>#REF!</v>
      </c>
      <c r="K170" s="2">
        <v>15651.8</v>
      </c>
      <c r="L170" s="72" t="e">
        <f>K170*100/F170</f>
        <v>#REF!</v>
      </c>
      <c r="M170" s="528"/>
      <c r="O170" s="38"/>
    </row>
    <row r="171" spans="1:15" ht="12.75">
      <c r="A171" s="518"/>
      <c r="B171" s="528"/>
      <c r="C171" s="518"/>
      <c r="D171" s="518"/>
      <c r="E171" s="26" t="s">
        <v>23</v>
      </c>
      <c r="F171" s="33" t="e">
        <f>ИТОГ!#REF!</f>
        <v>#REF!</v>
      </c>
      <c r="G171" s="33" t="e">
        <f>ИТОГ!#REF!</f>
        <v>#REF!</v>
      </c>
      <c r="H171" s="25" t="e">
        <f>ИТОГ!#REF!</f>
        <v>#REF!</v>
      </c>
      <c r="I171" s="35" t="e">
        <f>ИТОГ!#REF!</f>
        <v>#REF!</v>
      </c>
      <c r="J171" s="35" t="e">
        <f>ИТОГ!#REF!</f>
        <v>#REF!</v>
      </c>
      <c r="K171" s="2">
        <v>1258760.1</v>
      </c>
      <c r="L171" s="72" t="e">
        <f>K171*100/F171</f>
        <v>#REF!</v>
      </c>
      <c r="M171" s="528"/>
      <c r="O171" s="38"/>
    </row>
    <row r="172" spans="1:15" ht="12.75">
      <c r="A172" s="519"/>
      <c r="B172" s="529"/>
      <c r="C172" s="519"/>
      <c r="D172" s="519"/>
      <c r="E172" s="26" t="s">
        <v>44</v>
      </c>
      <c r="F172" s="33" t="e">
        <f>ИТОГ!#REF!</f>
        <v>#REF!</v>
      </c>
      <c r="G172" s="35" t="e">
        <f>ИТОГ!#REF!</f>
        <v>#REF!</v>
      </c>
      <c r="H172" s="25" t="e">
        <f>ИТОГ!#REF!</f>
        <v>#REF!</v>
      </c>
      <c r="I172" s="35" t="e">
        <f>ИТОГ!#REF!</f>
        <v>#REF!</v>
      </c>
      <c r="J172" s="35" t="e">
        <f>ИТОГ!#REF!</f>
        <v>#REF!</v>
      </c>
      <c r="K172" s="2">
        <v>0</v>
      </c>
      <c r="L172" s="80">
        <v>0</v>
      </c>
      <c r="M172" s="529"/>
      <c r="O172" s="38"/>
    </row>
    <row r="173" spans="1:15" ht="12.75">
      <c r="A173" s="503">
        <v>23</v>
      </c>
      <c r="B173" s="507" t="s">
        <v>73</v>
      </c>
      <c r="C173" s="503" t="s">
        <v>129</v>
      </c>
      <c r="D173" s="503" t="s">
        <v>134</v>
      </c>
      <c r="E173" s="47" t="s">
        <v>26</v>
      </c>
      <c r="F173" s="30" t="e">
        <f>ИТОГ!#REF!</f>
        <v>#REF!</v>
      </c>
      <c r="G173" s="30" t="e">
        <f>ИТОГ!#REF!</f>
        <v>#REF!</v>
      </c>
      <c r="H173" s="18" t="e">
        <f>ИТОГ!#REF!</f>
        <v>#REF!</v>
      </c>
      <c r="I173" s="31" t="e">
        <f>ИТОГ!#REF!</f>
        <v>#REF!</v>
      </c>
      <c r="J173" s="31" t="e">
        <f>ИТОГ!#REF!</f>
        <v>#REF!</v>
      </c>
      <c r="K173" s="32">
        <f>SUM(K175:K179)</f>
        <v>40671.1</v>
      </c>
      <c r="L173" s="71" t="e">
        <f>K173*100/F173</f>
        <v>#REF!</v>
      </c>
      <c r="M173" s="508" t="s">
        <v>156</v>
      </c>
      <c r="O173" s="38"/>
    </row>
    <row r="174" spans="1:15" ht="12.75">
      <c r="A174" s="503"/>
      <c r="B174" s="507">
        <v>0</v>
      </c>
      <c r="C174" s="503"/>
      <c r="D174" s="505"/>
      <c r="E174" s="20" t="s">
        <v>29</v>
      </c>
      <c r="F174" s="86"/>
      <c r="G174" s="86"/>
      <c r="H174" s="86"/>
      <c r="I174" s="86"/>
      <c r="J174" s="87"/>
      <c r="K174" s="86"/>
      <c r="L174" s="88"/>
      <c r="M174" s="509"/>
      <c r="O174" s="38"/>
    </row>
    <row r="175" spans="1:15" ht="12.75">
      <c r="A175" s="503"/>
      <c r="B175" s="507"/>
      <c r="C175" s="503"/>
      <c r="D175" s="503"/>
      <c r="E175" s="34" t="s">
        <v>27</v>
      </c>
      <c r="F175" s="33" t="e">
        <f>ИТОГ!#REF!</f>
        <v>#REF!</v>
      </c>
      <c r="G175" s="33" t="e">
        <f>ИТОГ!#REF!</f>
        <v>#REF!</v>
      </c>
      <c r="H175" s="25" t="e">
        <f>ИТОГ!#REF!</f>
        <v>#REF!</v>
      </c>
      <c r="I175" s="35" t="e">
        <f>ИТОГ!#REF!</f>
        <v>#REF!</v>
      </c>
      <c r="J175" s="35" t="e">
        <f>ИТОГ!#REF!</f>
        <v>#REF!</v>
      </c>
      <c r="K175" s="57">
        <v>2785.6</v>
      </c>
      <c r="L175" s="73">
        <v>100</v>
      </c>
      <c r="M175" s="509"/>
      <c r="O175" s="38"/>
    </row>
    <row r="176" spans="1:15" ht="12.75">
      <c r="A176" s="503"/>
      <c r="B176" s="507">
        <v>0</v>
      </c>
      <c r="C176" s="503"/>
      <c r="D176" s="503"/>
      <c r="E176" s="26" t="s">
        <v>30</v>
      </c>
      <c r="F176" s="33" t="e">
        <f>ИТОГ!#REF!</f>
        <v>#REF!</v>
      </c>
      <c r="G176" s="33" t="e">
        <f>ИТОГ!#REF!</f>
        <v>#REF!</v>
      </c>
      <c r="H176" s="25" t="e">
        <f>ИТОГ!#REF!</f>
        <v>#REF!</v>
      </c>
      <c r="I176" s="35" t="e">
        <f>ИТОГ!#REF!</f>
        <v>#REF!</v>
      </c>
      <c r="J176" s="35" t="e">
        <f>ИТОГ!#REF!</f>
        <v>#REF!</v>
      </c>
      <c r="K176" s="57">
        <v>37885.5</v>
      </c>
      <c r="L176" s="72" t="e">
        <f>K176*100/F176</f>
        <v>#REF!</v>
      </c>
      <c r="M176" s="509"/>
      <c r="O176" s="38"/>
    </row>
    <row r="177" spans="1:15" ht="25.5">
      <c r="A177" s="503"/>
      <c r="B177" s="507"/>
      <c r="C177" s="503"/>
      <c r="D177" s="503"/>
      <c r="E177" s="26" t="s">
        <v>38</v>
      </c>
      <c r="F177" s="33" t="e">
        <f>ИТОГ!#REF!</f>
        <v>#REF!</v>
      </c>
      <c r="G177" s="35" t="e">
        <f>ИТОГ!#REF!</f>
        <v>#REF!</v>
      </c>
      <c r="H177" s="25" t="e">
        <f>ИТОГ!#REF!</f>
        <v>#REF!</v>
      </c>
      <c r="I177" s="35" t="e">
        <f>ИТОГ!#REF!</f>
        <v>#REF!</v>
      </c>
      <c r="J177" s="35" t="e">
        <f>ИТОГ!#REF!</f>
        <v>#REF!</v>
      </c>
      <c r="K177" s="2">
        <v>0</v>
      </c>
      <c r="L177" s="80">
        <v>0</v>
      </c>
      <c r="M177" s="509"/>
      <c r="O177" s="38"/>
    </row>
    <row r="178" spans="1:15" ht="12.75">
      <c r="A178" s="503"/>
      <c r="B178" s="507"/>
      <c r="C178" s="503"/>
      <c r="D178" s="503"/>
      <c r="E178" s="26" t="s">
        <v>23</v>
      </c>
      <c r="F178" s="33" t="e">
        <f>ИТОГ!#REF!</f>
        <v>#REF!</v>
      </c>
      <c r="G178" s="35" t="e">
        <f>ИТОГ!#REF!</f>
        <v>#REF!</v>
      </c>
      <c r="H178" s="25" t="e">
        <f>ИТОГ!#REF!</f>
        <v>#REF!</v>
      </c>
      <c r="I178" s="35" t="e">
        <f>ИТОГ!#REF!</f>
        <v>#REF!</v>
      </c>
      <c r="J178" s="35" t="e">
        <f>ИТОГ!#REF!</f>
        <v>#REF!</v>
      </c>
      <c r="K178" s="2">
        <v>0</v>
      </c>
      <c r="L178" s="80">
        <v>0</v>
      </c>
      <c r="M178" s="509"/>
      <c r="O178" s="38"/>
    </row>
    <row r="179" spans="1:15" ht="53.25" customHeight="1">
      <c r="A179" s="503"/>
      <c r="B179" s="507">
        <v>0</v>
      </c>
      <c r="C179" s="503"/>
      <c r="D179" s="503"/>
      <c r="E179" s="26" t="s">
        <v>44</v>
      </c>
      <c r="F179" s="33" t="e">
        <f>ИТОГ!#REF!</f>
        <v>#REF!</v>
      </c>
      <c r="G179" s="35" t="e">
        <f>ИТОГ!#REF!</f>
        <v>#REF!</v>
      </c>
      <c r="H179" s="25" t="e">
        <f>ИТОГ!#REF!</f>
        <v>#REF!</v>
      </c>
      <c r="I179" s="35" t="e">
        <f>ИТОГ!#REF!</f>
        <v>#REF!</v>
      </c>
      <c r="J179" s="35" t="e">
        <f>ИТОГ!#REF!</f>
        <v>#REF!</v>
      </c>
      <c r="K179" s="2">
        <v>0</v>
      </c>
      <c r="L179" s="80">
        <v>0</v>
      </c>
      <c r="M179" s="510"/>
      <c r="O179" s="38"/>
    </row>
    <row r="180" spans="1:15" ht="12.75">
      <c r="A180" s="503">
        <v>24</v>
      </c>
      <c r="B180" s="507" t="s">
        <v>59</v>
      </c>
      <c r="C180" s="503" t="s">
        <v>98</v>
      </c>
      <c r="D180" s="503" t="s">
        <v>15</v>
      </c>
      <c r="E180" s="47" t="s">
        <v>26</v>
      </c>
      <c r="F180" s="30" t="e">
        <f>ИТОГ!#REF!</f>
        <v>#REF!</v>
      </c>
      <c r="G180" s="30" t="e">
        <f>ИТОГ!#REF!</f>
        <v>#REF!</v>
      </c>
      <c r="H180" s="18" t="e">
        <f>ИТОГ!#REF!</f>
        <v>#REF!</v>
      </c>
      <c r="I180" s="31" t="e">
        <f>ИТОГ!#REF!</f>
        <v>#REF!</v>
      </c>
      <c r="J180" s="31" t="e">
        <f>ИТОГ!#REF!</f>
        <v>#REF!</v>
      </c>
      <c r="K180" s="32">
        <f>SUM(K182:K186)</f>
        <v>543001.4</v>
      </c>
      <c r="L180" s="71" t="e">
        <f>K180*100/F180</f>
        <v>#REF!</v>
      </c>
      <c r="M180" s="508" t="s">
        <v>156</v>
      </c>
      <c r="O180" s="38"/>
    </row>
    <row r="181" spans="1:15" ht="12.75">
      <c r="A181" s="503"/>
      <c r="B181" s="507"/>
      <c r="C181" s="503"/>
      <c r="D181" s="505"/>
      <c r="E181" s="20" t="s">
        <v>29</v>
      </c>
      <c r="F181" s="86"/>
      <c r="G181" s="86"/>
      <c r="H181" s="86"/>
      <c r="I181" s="86"/>
      <c r="J181" s="87"/>
      <c r="K181" s="86"/>
      <c r="L181" s="88"/>
      <c r="M181" s="509"/>
      <c r="O181" s="38"/>
    </row>
    <row r="182" spans="1:15" ht="12.75">
      <c r="A182" s="503"/>
      <c r="B182" s="507"/>
      <c r="C182" s="503"/>
      <c r="D182" s="503"/>
      <c r="E182" s="34" t="s">
        <v>27</v>
      </c>
      <c r="F182" s="33" t="e">
        <f>ИТОГ!#REF!</f>
        <v>#REF!</v>
      </c>
      <c r="G182" s="35" t="e">
        <f>ИТОГ!#REF!</f>
        <v>#REF!</v>
      </c>
      <c r="H182" s="25" t="e">
        <f>ИТОГ!#REF!</f>
        <v>#REF!</v>
      </c>
      <c r="I182" s="35" t="e">
        <f>ИТОГ!#REF!</f>
        <v>#REF!</v>
      </c>
      <c r="J182" s="35" t="e">
        <f>ИТОГ!#REF!</f>
        <v>#REF!</v>
      </c>
      <c r="K182" s="36">
        <v>0</v>
      </c>
      <c r="L182" s="80">
        <v>0</v>
      </c>
      <c r="M182" s="509"/>
      <c r="O182" s="38"/>
    </row>
    <row r="183" spans="1:15" ht="12.75">
      <c r="A183" s="503"/>
      <c r="B183" s="507"/>
      <c r="C183" s="503"/>
      <c r="D183" s="503"/>
      <c r="E183" s="26" t="s">
        <v>30</v>
      </c>
      <c r="F183" s="33" t="e">
        <f>ИТОГ!#REF!</f>
        <v>#REF!</v>
      </c>
      <c r="G183" s="35" t="e">
        <f>ИТОГ!#REF!</f>
        <v>#REF!</v>
      </c>
      <c r="H183" s="25" t="e">
        <f>ИТОГ!#REF!</f>
        <v>#REF!</v>
      </c>
      <c r="I183" s="35" t="e">
        <f>ИТОГ!#REF!</f>
        <v>#REF!</v>
      </c>
      <c r="J183" s="35" t="e">
        <f>ИТОГ!#REF!</f>
        <v>#REF!</v>
      </c>
      <c r="K183" s="2">
        <v>543001.4</v>
      </c>
      <c r="L183" s="72" t="e">
        <f>K183*100/F183</f>
        <v>#REF!</v>
      </c>
      <c r="M183" s="509"/>
      <c r="O183" s="38"/>
    </row>
    <row r="184" spans="1:15" ht="25.5">
      <c r="A184" s="503"/>
      <c r="B184" s="507"/>
      <c r="C184" s="503"/>
      <c r="D184" s="503"/>
      <c r="E184" s="26" t="s">
        <v>38</v>
      </c>
      <c r="F184" s="33" t="e">
        <f>ИТОГ!#REF!</f>
        <v>#REF!</v>
      </c>
      <c r="G184" s="35" t="e">
        <f>ИТОГ!#REF!</f>
        <v>#REF!</v>
      </c>
      <c r="H184" s="25" t="e">
        <f>ИТОГ!#REF!</f>
        <v>#REF!</v>
      </c>
      <c r="I184" s="35" t="e">
        <f>ИТОГ!#REF!</f>
        <v>#REF!</v>
      </c>
      <c r="J184" s="35" t="e">
        <f>ИТОГ!#REF!</f>
        <v>#REF!</v>
      </c>
      <c r="K184" s="2">
        <v>0</v>
      </c>
      <c r="L184" s="80">
        <v>0</v>
      </c>
      <c r="M184" s="509"/>
      <c r="O184" s="38"/>
    </row>
    <row r="185" spans="1:15" ht="12.75">
      <c r="A185" s="503"/>
      <c r="B185" s="507"/>
      <c r="C185" s="503"/>
      <c r="D185" s="503"/>
      <c r="E185" s="26" t="s">
        <v>23</v>
      </c>
      <c r="F185" s="33" t="e">
        <f>ИТОГ!#REF!</f>
        <v>#REF!</v>
      </c>
      <c r="G185" s="35" t="e">
        <f>ИТОГ!#REF!</f>
        <v>#REF!</v>
      </c>
      <c r="H185" s="25" t="e">
        <f>ИТОГ!#REF!</f>
        <v>#REF!</v>
      </c>
      <c r="I185" s="35" t="e">
        <f>ИТОГ!#REF!</f>
        <v>#REF!</v>
      </c>
      <c r="J185" s="35" t="e">
        <f>ИТОГ!#REF!</f>
        <v>#REF!</v>
      </c>
      <c r="K185" s="2">
        <v>0</v>
      </c>
      <c r="L185" s="80">
        <v>0</v>
      </c>
      <c r="M185" s="509"/>
      <c r="O185" s="38"/>
    </row>
    <row r="186" spans="1:15" ht="51" customHeight="1">
      <c r="A186" s="503"/>
      <c r="B186" s="507"/>
      <c r="C186" s="503"/>
      <c r="D186" s="503"/>
      <c r="E186" s="26" t="s">
        <v>44</v>
      </c>
      <c r="F186" s="33" t="e">
        <f>ИТОГ!#REF!</f>
        <v>#REF!</v>
      </c>
      <c r="G186" s="35" t="e">
        <f>ИТОГ!#REF!</f>
        <v>#REF!</v>
      </c>
      <c r="H186" s="25" t="e">
        <f>ИТОГ!#REF!</f>
        <v>#REF!</v>
      </c>
      <c r="I186" s="35" t="e">
        <f>ИТОГ!#REF!</f>
        <v>#REF!</v>
      </c>
      <c r="J186" s="35" t="e">
        <f>ИТОГ!#REF!</f>
        <v>#REF!</v>
      </c>
      <c r="K186" s="2">
        <v>0</v>
      </c>
      <c r="L186" s="80">
        <v>0</v>
      </c>
      <c r="M186" s="510"/>
      <c r="O186" s="38"/>
    </row>
    <row r="187" spans="1:16" ht="12.75">
      <c r="A187" s="503">
        <v>25</v>
      </c>
      <c r="B187" s="507" t="s">
        <v>60</v>
      </c>
      <c r="C187" s="503" t="s">
        <v>104</v>
      </c>
      <c r="D187" s="503" t="s">
        <v>10</v>
      </c>
      <c r="E187" s="47" t="s">
        <v>26</v>
      </c>
      <c r="F187" s="30" t="e">
        <f>ИТОГ!#REF!</f>
        <v>#REF!</v>
      </c>
      <c r="G187" s="30" t="e">
        <f>ИТОГ!#REF!</f>
        <v>#REF!</v>
      </c>
      <c r="H187" s="18" t="e">
        <f>ИТОГ!#REF!</f>
        <v>#REF!</v>
      </c>
      <c r="I187" s="31" t="e">
        <f>ИТОГ!#REF!</f>
        <v>#REF!</v>
      </c>
      <c r="J187" s="31" t="e">
        <f>ИТОГ!#REF!</f>
        <v>#REF!</v>
      </c>
      <c r="K187" s="32">
        <f>SUM(K189:K193)</f>
        <v>15268.4</v>
      </c>
      <c r="L187" s="71" t="e">
        <f>K187*100/F187</f>
        <v>#REF!</v>
      </c>
      <c r="M187" s="508" t="s">
        <v>166</v>
      </c>
      <c r="O187" s="38"/>
      <c r="P187" s="38"/>
    </row>
    <row r="188" spans="1:15" ht="12.75">
      <c r="A188" s="503"/>
      <c r="B188" s="507"/>
      <c r="C188" s="503"/>
      <c r="D188" s="505"/>
      <c r="E188" s="20" t="s">
        <v>29</v>
      </c>
      <c r="F188" s="86"/>
      <c r="G188" s="86"/>
      <c r="H188" s="86"/>
      <c r="I188" s="86"/>
      <c r="J188" s="87"/>
      <c r="K188" s="86"/>
      <c r="L188" s="88"/>
      <c r="M188" s="509"/>
      <c r="O188" s="38"/>
    </row>
    <row r="189" spans="1:15" ht="12.75">
      <c r="A189" s="503"/>
      <c r="B189" s="507"/>
      <c r="C189" s="503"/>
      <c r="D189" s="503"/>
      <c r="E189" s="34" t="s">
        <v>27</v>
      </c>
      <c r="F189" s="33" t="e">
        <f>ИТОГ!#REF!</f>
        <v>#REF!</v>
      </c>
      <c r="G189" s="33" t="e">
        <f>ИТОГ!#REF!</f>
        <v>#REF!</v>
      </c>
      <c r="H189" s="25" t="e">
        <f>ИТОГ!#REF!</f>
        <v>#REF!</v>
      </c>
      <c r="I189" s="35" t="e">
        <f>ИТОГ!#REF!</f>
        <v>#REF!</v>
      </c>
      <c r="J189" s="35" t="e">
        <f>ИТОГ!#REF!</f>
        <v>#REF!</v>
      </c>
      <c r="K189" s="4">
        <v>68.4</v>
      </c>
      <c r="L189" s="72" t="e">
        <f>K189*100/F189</f>
        <v>#REF!</v>
      </c>
      <c r="M189" s="509"/>
      <c r="O189" s="38"/>
    </row>
    <row r="190" spans="1:15" ht="12.75">
      <c r="A190" s="503"/>
      <c r="B190" s="507"/>
      <c r="C190" s="503"/>
      <c r="D190" s="503"/>
      <c r="E190" s="26" t="s">
        <v>30</v>
      </c>
      <c r="F190" s="33" t="e">
        <f>ИТОГ!#REF!</f>
        <v>#REF!</v>
      </c>
      <c r="G190" s="35" t="e">
        <f>ИТОГ!#REF!</f>
        <v>#REF!</v>
      </c>
      <c r="H190" s="25" t="e">
        <f>ИТОГ!#REF!</f>
        <v>#REF!</v>
      </c>
      <c r="I190" s="35" t="e">
        <f>ИТОГ!#REF!</f>
        <v>#REF!</v>
      </c>
      <c r="J190" s="35" t="e">
        <f>ИТОГ!#REF!</f>
        <v>#REF!</v>
      </c>
      <c r="K190" s="5">
        <v>15200</v>
      </c>
      <c r="L190" s="72" t="e">
        <f>K190*100/F190</f>
        <v>#REF!</v>
      </c>
      <c r="M190" s="509"/>
      <c r="O190" s="38"/>
    </row>
    <row r="191" spans="1:15" ht="25.5">
      <c r="A191" s="503"/>
      <c r="B191" s="507"/>
      <c r="C191" s="503"/>
      <c r="D191" s="503"/>
      <c r="E191" s="26" t="s">
        <v>38</v>
      </c>
      <c r="F191" s="33" t="e">
        <f>ИТОГ!#REF!</f>
        <v>#REF!</v>
      </c>
      <c r="G191" s="35" t="e">
        <f>ИТОГ!#REF!</f>
        <v>#REF!</v>
      </c>
      <c r="H191" s="25" t="e">
        <f>ИТОГ!#REF!</f>
        <v>#REF!</v>
      </c>
      <c r="I191" s="35" t="e">
        <f>ИТОГ!#REF!</f>
        <v>#REF!</v>
      </c>
      <c r="J191" s="35" t="e">
        <f>ИТОГ!#REF!</f>
        <v>#REF!</v>
      </c>
      <c r="K191" s="2">
        <v>0</v>
      </c>
      <c r="L191" s="80">
        <v>0</v>
      </c>
      <c r="M191" s="509"/>
      <c r="O191" s="38"/>
    </row>
    <row r="192" spans="1:15" ht="12.75">
      <c r="A192" s="503"/>
      <c r="B192" s="507"/>
      <c r="C192" s="503"/>
      <c r="D192" s="503"/>
      <c r="E192" s="26" t="s">
        <v>23</v>
      </c>
      <c r="F192" s="33" t="e">
        <f>ИТОГ!#REF!</f>
        <v>#REF!</v>
      </c>
      <c r="G192" s="33" t="e">
        <f>ИТОГ!#REF!</f>
        <v>#REF!</v>
      </c>
      <c r="H192" s="25" t="e">
        <f>ИТОГ!#REF!</f>
        <v>#REF!</v>
      </c>
      <c r="I192" s="35" t="e">
        <f>ИТОГ!#REF!</f>
        <v>#REF!</v>
      </c>
      <c r="J192" s="35" t="e">
        <f>ИТОГ!#REF!</f>
        <v>#REF!</v>
      </c>
      <c r="K192" s="2">
        <v>0</v>
      </c>
      <c r="L192" s="80">
        <v>0</v>
      </c>
      <c r="M192" s="509"/>
      <c r="O192" s="38"/>
    </row>
    <row r="193" spans="1:15" ht="81.75" customHeight="1">
      <c r="A193" s="503"/>
      <c r="B193" s="507"/>
      <c r="C193" s="503"/>
      <c r="D193" s="503"/>
      <c r="E193" s="26" t="s">
        <v>44</v>
      </c>
      <c r="F193" s="33" t="e">
        <f>ИТОГ!#REF!</f>
        <v>#REF!</v>
      </c>
      <c r="G193" s="33" t="e">
        <f>ИТОГ!#REF!</f>
        <v>#REF!</v>
      </c>
      <c r="H193" s="25" t="e">
        <f>ИТОГ!#REF!</f>
        <v>#REF!</v>
      </c>
      <c r="I193" s="35" t="e">
        <f>ИТОГ!#REF!</f>
        <v>#REF!</v>
      </c>
      <c r="J193" s="35" t="e">
        <f>ИТОГ!#REF!</f>
        <v>#REF!</v>
      </c>
      <c r="K193" s="2">
        <v>0</v>
      </c>
      <c r="L193" s="80">
        <v>0</v>
      </c>
      <c r="M193" s="510"/>
      <c r="O193" s="38"/>
    </row>
    <row r="194" spans="1:16" ht="12.75">
      <c r="A194" s="503"/>
      <c r="B194" s="504" t="s">
        <v>45</v>
      </c>
      <c r="C194" s="503"/>
      <c r="D194" s="503"/>
      <c r="E194" s="47" t="s">
        <v>5</v>
      </c>
      <c r="F194" s="18">
        <f>ИТОГ!G148</f>
        <v>4087053.3900000006</v>
      </c>
      <c r="G194" s="18">
        <f>ИТОГ!H148</f>
        <v>272173316.951</v>
      </c>
      <c r="H194" s="18" t="e">
        <f>ИТОГ!J148</f>
        <v>#REF!</v>
      </c>
      <c r="I194" s="58" t="e">
        <f>ИТОГ!L148</f>
        <v>#REF!</v>
      </c>
      <c r="J194" s="58" t="e">
        <f>ИТОГ!K148</f>
        <v>#REF!</v>
      </c>
      <c r="K194" s="59" t="e">
        <f>SUM(K196:K200)</f>
        <v>#REF!</v>
      </c>
      <c r="L194" s="74" t="e">
        <f>K194*100/F194</f>
        <v>#REF!</v>
      </c>
      <c r="M194" s="506"/>
      <c r="O194" s="38"/>
      <c r="P194" s="38"/>
    </row>
    <row r="195" spans="1:16" ht="12.75">
      <c r="A195" s="503"/>
      <c r="B195" s="504"/>
      <c r="C195" s="503"/>
      <c r="D195" s="505"/>
      <c r="E195" s="20" t="s">
        <v>29</v>
      </c>
      <c r="F195" s="86"/>
      <c r="G195" s="86"/>
      <c r="H195" s="86"/>
      <c r="I195" s="89"/>
      <c r="J195" s="87"/>
      <c r="K195" s="86"/>
      <c r="L195" s="90"/>
      <c r="M195" s="506"/>
      <c r="O195" s="38"/>
      <c r="P195" s="38"/>
    </row>
    <row r="196" spans="1:16" ht="12.75">
      <c r="A196" s="503"/>
      <c r="B196" s="504"/>
      <c r="C196" s="503"/>
      <c r="D196" s="503"/>
      <c r="E196" s="34" t="s">
        <v>27</v>
      </c>
      <c r="F196" s="60" t="e">
        <f aca="true" t="shared" si="7" ref="F196:H197">F15+F24+F31+F38+F45+F52+F60+F67+F74+F81+F88+F95+F102+F109+F116+F123+F130+F137+F147+F154+F161+F168+F175+F182+F189</f>
        <v>#REF!</v>
      </c>
      <c r="G196" s="60" t="e">
        <f t="shared" si="7"/>
        <v>#REF!</v>
      </c>
      <c r="H196" s="60" t="e">
        <f t="shared" si="7"/>
        <v>#REF!</v>
      </c>
      <c r="I196" s="58" t="e">
        <f>ИТОГ!L150</f>
        <v>#REF!</v>
      </c>
      <c r="J196" s="58" t="e">
        <f>ИТОГ!K150</f>
        <v>#REF!</v>
      </c>
      <c r="K196" s="60">
        <f>K15+K24+K31+K38+K45+K52+K60+K67+K74+K81+K88+K95+K102+K109+K116+K123+K130+K137+K147+K154+K161+K168+K175+K182+K189</f>
        <v>5846061.9072</v>
      </c>
      <c r="L196" s="74" t="e">
        <f>K196*100/F196</f>
        <v>#REF!</v>
      </c>
      <c r="M196" s="506"/>
      <c r="O196" s="38"/>
      <c r="P196" s="38"/>
    </row>
    <row r="197" spans="1:16" ht="12.75">
      <c r="A197" s="503"/>
      <c r="B197" s="504"/>
      <c r="C197" s="503"/>
      <c r="D197" s="503"/>
      <c r="E197" s="26" t="s">
        <v>30</v>
      </c>
      <c r="F197" s="60" t="e">
        <f t="shared" si="7"/>
        <v>#REF!</v>
      </c>
      <c r="G197" s="60" t="e">
        <f t="shared" si="7"/>
        <v>#REF!</v>
      </c>
      <c r="H197" s="60" t="e">
        <f t="shared" si="7"/>
        <v>#REF!</v>
      </c>
      <c r="I197" s="58" t="e">
        <f>ИТОГ!L151</f>
        <v>#REF!</v>
      </c>
      <c r="J197" s="58" t="e">
        <f>ИТОГ!K151</f>
        <v>#REF!</v>
      </c>
      <c r="K197" s="18">
        <f>K16+K25+K32+K39+K46+K53+K61+K68+K75+K82+K89+K96+K103+K110+K117+K124+K131+K138+K148+K155+K162+K169+K176+K183+K190</f>
        <v>172143706.89999998</v>
      </c>
      <c r="L197" s="74" t="e">
        <f>K197*100/F197</f>
        <v>#REF!</v>
      </c>
      <c r="M197" s="506"/>
      <c r="O197" s="38"/>
      <c r="P197" s="38"/>
    </row>
    <row r="198" spans="1:16" ht="25.5">
      <c r="A198" s="503"/>
      <c r="B198" s="504"/>
      <c r="C198" s="503"/>
      <c r="D198" s="503"/>
      <c r="E198" s="26" t="s">
        <v>38</v>
      </c>
      <c r="F198" s="60" t="e">
        <f>F18+F26+F33+F40+F47+F54+F62+F69+F76+F83+F90+F97+F104+F111+F118+F125+F132+F140+F149+F156+F163+F170+F177+F184+F191</f>
        <v>#REF!</v>
      </c>
      <c r="G198" s="60" t="e">
        <f>G18+G26+G33+G40+G47+G54+G62+G69+G76+G83+G90+G97+G104+G111+G118+G125+G132+G140+G149+G156+G163+G170+G177+G184+G191</f>
        <v>#REF!</v>
      </c>
      <c r="H198" s="60" t="e">
        <f>H18+H26+H33+H40+H47+H54+H62+H69+H76+H83+H90+H97+H104+H111+H118+H125+H132+H140+H149+H156+H163+H170+H177+H184+H191</f>
        <v>#REF!</v>
      </c>
      <c r="I198" s="58">
        <f>ИТОГ!L152</f>
        <v>146.52322301639407</v>
      </c>
      <c r="J198" s="58">
        <f>ИТОГ!K152</f>
        <v>74.19625525163666</v>
      </c>
      <c r="K198" s="18">
        <f>K18+K26+K33+K40+K47+K54+K62+K69+K76+K83+K90+K97+K104+K111+K118+K125+K132+K140+K149+K156+K163+K170+K177+K184+K191</f>
        <v>3025178.1685</v>
      </c>
      <c r="L198" s="74" t="e">
        <f>K198*100/F198</f>
        <v>#REF!</v>
      </c>
      <c r="M198" s="506"/>
      <c r="O198" s="38"/>
      <c r="P198" s="38"/>
    </row>
    <row r="199" spans="1:15" ht="12.75">
      <c r="A199" s="503"/>
      <c r="B199" s="504"/>
      <c r="C199" s="503"/>
      <c r="D199" s="503"/>
      <c r="E199" s="26" t="s">
        <v>23</v>
      </c>
      <c r="F199" s="60" t="e">
        <f>F19+F27+F34+F41+F48+F56+F63+F70+F77+F84+F91+F98+F105+F112+F119+F126+F133+F141+F150+F157+F164+F171+F178+F185+F192</f>
        <v>#REF!</v>
      </c>
      <c r="G199" s="60" t="e">
        <f>G19+G27+G34+G41+G48+G56+G63+G70+G77+G84+G91+G98+G105+G112+G119+G126+G133+G141+G150+G157+G164+G171+G178+G185+G192</f>
        <v>#REF!</v>
      </c>
      <c r="H199" s="60" t="e">
        <f>H19+H27+H34+H41+H48+H56+H63+H70+H77+H84+H91+H98+H105+H112+H119+H126+H133+H141+H150+H157+H164+H171+H178+H185+H192</f>
        <v>#REF!</v>
      </c>
      <c r="I199" s="58">
        <f>ИТОГ!L153</f>
        <v>673.6341810885218</v>
      </c>
      <c r="J199" s="58" t="e">
        <f>ИТОГ!K153</f>
        <v>#DIV/0!</v>
      </c>
      <c r="K199" s="18">
        <f>K19+K27+K34+K41+K48+K56+K63+K70+K77+K84+K91+K98+K105+K112+K119+K126+K133+K141+K150+K157+K164+K171+K178+K185+K192</f>
        <v>8932012.4</v>
      </c>
      <c r="L199" s="74" t="e">
        <f>K199*100/F199</f>
        <v>#REF!</v>
      </c>
      <c r="M199" s="506"/>
      <c r="O199" s="38"/>
    </row>
    <row r="200" spans="1:15" ht="12.75">
      <c r="A200" s="503"/>
      <c r="B200" s="504"/>
      <c r="C200" s="503"/>
      <c r="D200" s="503"/>
      <c r="E200" s="26" t="s">
        <v>44</v>
      </c>
      <c r="F200" s="60">
        <f>ИТОГ!G154</f>
        <v>60974</v>
      </c>
      <c r="G200" s="31">
        <f>ИТОГ!H154</f>
        <v>30018284.1</v>
      </c>
      <c r="H200" s="18">
        <f>ИТОГ!J154</f>
        <v>26456901.800000004</v>
      </c>
      <c r="I200" s="31">
        <f>ИТОГ!L154</f>
        <v>646.5115579100117</v>
      </c>
      <c r="J200" s="35" t="e">
        <f>ИТОГ!K154</f>
        <v>#DIV/0!</v>
      </c>
      <c r="K200" s="18" t="e">
        <f>ИТОГ!P154</f>
        <v>#REF!</v>
      </c>
      <c r="L200" s="74" t="e">
        <f>K200*100/F200</f>
        <v>#REF!</v>
      </c>
      <c r="M200" s="506"/>
      <c r="O200" s="38"/>
    </row>
    <row r="201" spans="13:15" ht="12.75">
      <c r="M201" s="64"/>
      <c r="O201" s="38"/>
    </row>
    <row r="202" spans="1:15" ht="12.75">
      <c r="A202" s="65" t="s">
        <v>122</v>
      </c>
      <c r="B202" s="65"/>
      <c r="C202" s="65"/>
      <c r="D202" s="65"/>
      <c r="E202" s="65"/>
      <c r="F202" s="65"/>
      <c r="G202" s="65"/>
      <c r="H202" s="65"/>
      <c r="I202" s="65"/>
      <c r="J202" s="65"/>
      <c r="K202" s="65"/>
      <c r="L202" s="83"/>
      <c r="O202" s="38"/>
    </row>
    <row r="203" spans="1:25" ht="12.75">
      <c r="A203" s="66"/>
      <c r="B203" s="66"/>
      <c r="C203" s="66"/>
      <c r="D203" s="66"/>
      <c r="E203" s="66"/>
      <c r="F203" s="66"/>
      <c r="G203" s="66"/>
      <c r="H203" s="13"/>
      <c r="I203" s="63"/>
      <c r="K203" s="13"/>
      <c r="L203" s="84"/>
      <c r="M203" s="10"/>
      <c r="N203" s="14"/>
      <c r="O203" s="76"/>
      <c r="P203" s="13"/>
      <c r="Q203" s="13"/>
      <c r="R203" s="13"/>
      <c r="S203" s="13"/>
      <c r="T203" s="13"/>
      <c r="U203" s="13"/>
      <c r="V203" s="13"/>
      <c r="W203" s="13"/>
      <c r="X203" s="13"/>
      <c r="Y203" s="13"/>
    </row>
    <row r="204" spans="1:15" ht="12.75">
      <c r="A204" s="502" t="s">
        <v>123</v>
      </c>
      <c r="B204" s="502"/>
      <c r="C204" s="502"/>
      <c r="D204" s="502"/>
      <c r="E204" s="502"/>
      <c r="F204" s="502"/>
      <c r="G204" s="502"/>
      <c r="H204" s="61"/>
      <c r="I204" s="61"/>
      <c r="J204" s="66"/>
      <c r="K204" s="61"/>
      <c r="L204" s="85"/>
      <c r="M204" s="61"/>
      <c r="O204" s="38"/>
    </row>
    <row r="205" spans="6:15" ht="12.75">
      <c r="F205" s="67"/>
      <c r="O205" s="38"/>
    </row>
    <row r="206" spans="6:15" ht="12.75">
      <c r="F206" s="67"/>
      <c r="O206" s="38"/>
    </row>
    <row r="207" spans="6:15" ht="12.75">
      <c r="F207" s="67"/>
      <c r="O207" s="38"/>
    </row>
    <row r="208" spans="6:15" ht="12.75">
      <c r="F208" s="67"/>
      <c r="O208" s="38"/>
    </row>
    <row r="209" spans="6:15" ht="12.75">
      <c r="F209" s="67"/>
      <c r="M209" s="64"/>
      <c r="O209" s="38"/>
    </row>
    <row r="210" spans="6:15" ht="12.75">
      <c r="F210" s="67"/>
      <c r="G210" s="12"/>
      <c r="J210" s="68"/>
      <c r="M210" s="64"/>
      <c r="O210" s="38"/>
    </row>
    <row r="211" spans="3:15" ht="12.75">
      <c r="C211" s="67"/>
      <c r="D211" s="67"/>
      <c r="G211" s="12"/>
      <c r="J211" s="68"/>
      <c r="M211" s="64"/>
      <c r="O211" s="38"/>
    </row>
    <row r="212" spans="3:15" ht="12.75">
      <c r="C212" s="67"/>
      <c r="D212" s="67"/>
      <c r="G212" s="12"/>
      <c r="M212" s="64"/>
      <c r="O212" s="38"/>
    </row>
    <row r="213" spans="3:15" ht="12.75">
      <c r="C213" s="67"/>
      <c r="D213" s="67"/>
      <c r="G213" s="12"/>
      <c r="O213" s="38"/>
    </row>
    <row r="214" spans="3:15" ht="12.75">
      <c r="C214" s="67"/>
      <c r="D214" s="67"/>
      <c r="G214" s="12"/>
      <c r="O214" s="38"/>
    </row>
    <row r="215" spans="3:15" ht="12.75">
      <c r="C215" s="67"/>
      <c r="D215" s="67"/>
      <c r="G215" s="12"/>
      <c r="O215" s="38"/>
    </row>
    <row r="216" spans="3:7" ht="12.75">
      <c r="C216" s="67"/>
      <c r="D216" s="67"/>
      <c r="G216" s="12"/>
    </row>
    <row r="217" spans="3:7" ht="12.75">
      <c r="C217" s="67"/>
      <c r="D217" s="67"/>
      <c r="G217" s="67"/>
    </row>
    <row r="218" spans="3:7" ht="12.75">
      <c r="C218" s="67"/>
      <c r="D218" s="67"/>
      <c r="G218" s="67"/>
    </row>
    <row r="219" spans="3:7" ht="12.75">
      <c r="C219" s="67"/>
      <c r="D219" s="67"/>
      <c r="G219" s="67"/>
    </row>
    <row r="220" spans="3:7" ht="12.75">
      <c r="C220" s="67"/>
      <c r="D220" s="67"/>
      <c r="G220" s="67"/>
    </row>
    <row r="221" spans="3:7" ht="12.75">
      <c r="C221" s="67"/>
      <c r="D221" s="67"/>
      <c r="G221" s="67"/>
    </row>
    <row r="222" spans="3:7" ht="12.75">
      <c r="C222" s="67"/>
      <c r="D222" s="67"/>
      <c r="G222" s="67"/>
    </row>
    <row r="223" spans="3:7" ht="12.75">
      <c r="C223" s="67"/>
      <c r="D223" s="67"/>
      <c r="G223" s="67"/>
    </row>
    <row r="224" spans="3:7" ht="12.75">
      <c r="C224" s="67"/>
      <c r="D224" s="67"/>
      <c r="G224" s="67"/>
    </row>
    <row r="225" spans="3:7" ht="12.75">
      <c r="C225" s="67"/>
      <c r="D225" s="67"/>
      <c r="G225" s="67"/>
    </row>
    <row r="226" spans="3:7" ht="12.75">
      <c r="C226" s="67"/>
      <c r="D226" s="67"/>
      <c r="G226" s="67"/>
    </row>
    <row r="227" spans="3:7" ht="12.75">
      <c r="C227" s="67"/>
      <c r="D227" s="67"/>
      <c r="G227" s="67"/>
    </row>
    <row r="228" spans="3:7" ht="12.75">
      <c r="C228" s="67"/>
      <c r="D228" s="67"/>
      <c r="G228" s="67"/>
    </row>
    <row r="229" spans="3:7" ht="12.75">
      <c r="C229" s="67"/>
      <c r="D229" s="67"/>
      <c r="G229" s="67"/>
    </row>
    <row r="230" spans="3:7" ht="12.75">
      <c r="C230" s="67"/>
      <c r="D230" s="67"/>
      <c r="G230" s="67"/>
    </row>
    <row r="231" spans="3:7" ht="12.75">
      <c r="C231" s="67"/>
      <c r="D231" s="67"/>
      <c r="G231" s="67"/>
    </row>
    <row r="232" spans="3:7" ht="12.75">
      <c r="C232" s="67"/>
      <c r="D232" s="67"/>
      <c r="G232" s="67"/>
    </row>
    <row r="233" spans="3:7" ht="12.75">
      <c r="C233" s="67"/>
      <c r="D233" s="67"/>
      <c r="G233" s="67"/>
    </row>
    <row r="234" spans="3:7" ht="12.75">
      <c r="C234" s="67"/>
      <c r="D234" s="67"/>
      <c r="G234" s="67"/>
    </row>
    <row r="235" spans="3:7" ht="12.75">
      <c r="C235" s="67"/>
      <c r="D235" s="67"/>
      <c r="G235" s="67"/>
    </row>
    <row r="236" spans="3:7" ht="12.75">
      <c r="C236" s="67"/>
      <c r="D236" s="67"/>
      <c r="G236" s="67"/>
    </row>
    <row r="237" spans="3:7" ht="12.75">
      <c r="C237" s="67"/>
      <c r="D237" s="67"/>
      <c r="G237" s="67"/>
    </row>
    <row r="238" spans="3:7" ht="12.75">
      <c r="C238" s="67"/>
      <c r="D238" s="67"/>
      <c r="G238" s="67"/>
    </row>
    <row r="239" spans="3:7" ht="12.75">
      <c r="C239" s="67"/>
      <c r="D239" s="67"/>
      <c r="G239" s="67"/>
    </row>
    <row r="240" spans="3:7" ht="12.75">
      <c r="C240" s="67"/>
      <c r="D240" s="67"/>
      <c r="G240" s="67"/>
    </row>
    <row r="241" spans="3:7" ht="12.75">
      <c r="C241" s="67"/>
      <c r="D241" s="67"/>
      <c r="G241" s="67"/>
    </row>
    <row r="242" spans="3:7" ht="12.75">
      <c r="C242" s="67"/>
      <c r="D242" s="67"/>
      <c r="G242" s="67"/>
    </row>
    <row r="243" spans="3:7" ht="12.75">
      <c r="C243" s="67"/>
      <c r="D243" s="67"/>
      <c r="G243" s="67"/>
    </row>
    <row r="244" spans="3:4" ht="12.75">
      <c r="C244" s="67"/>
      <c r="D244" s="67"/>
    </row>
    <row r="255" ht="12.75">
      <c r="F255" s="67"/>
    </row>
    <row r="257" spans="6:8" ht="12.75">
      <c r="F257" s="67" t="e">
        <f>F12+F22+F29+F36+F43+F50+F58+F65+F72+F79+F86+F93+F100+F107+F114+F121+F128+F135+F145+F152+F159+F166+F173+F180+F187</f>
        <v>#REF!</v>
      </c>
      <c r="G257" s="67" t="e">
        <f>G12+G22+G29+G36+G43+G50+G58+G65+G72+G79+G86+G93+G100+G107+G114+G121+G128+G135+G145+G152+G159+G166+G173+G180+G187</f>
        <v>#REF!</v>
      </c>
      <c r="H257" s="67" t="e">
        <f>H12+H22+H29+H36+H43+H50+H58+H65+H72+H79+H86+H93+H100+H107+H114+H121+H128+H135+H145+H152+H159+H166+H173+H180+H187</f>
        <v>#REF!</v>
      </c>
    </row>
    <row r="259" spans="6:8" ht="12.75">
      <c r="F259" s="67" t="e">
        <f aca="true" t="shared" si="8" ref="F259:H260">F15+F24+F31+F38+F45+F52+F60+F67+F74+F81+F88+F95+F102+F109+F116+F123+F130+F137+F147+F154+F161+F168+F175+F182+F189</f>
        <v>#REF!</v>
      </c>
      <c r="G259" s="67" t="e">
        <f t="shared" si="8"/>
        <v>#REF!</v>
      </c>
      <c r="H259" s="67" t="e">
        <f t="shared" si="8"/>
        <v>#REF!</v>
      </c>
    </row>
    <row r="260" spans="6:8" ht="12.75">
      <c r="F260" s="67" t="e">
        <f t="shared" si="8"/>
        <v>#REF!</v>
      </c>
      <c r="G260" s="67" t="e">
        <f t="shared" si="8"/>
        <v>#REF!</v>
      </c>
      <c r="H260" s="67" t="e">
        <f t="shared" si="8"/>
        <v>#REF!</v>
      </c>
    </row>
  </sheetData>
  <sheetProtection/>
  <autoFilter ref="E1:E255"/>
  <mergeCells count="144">
    <mergeCell ref="M12:M21"/>
    <mergeCell ref="A5:A11"/>
    <mergeCell ref="B5:B11"/>
    <mergeCell ref="C5:C11"/>
    <mergeCell ref="D5:D11"/>
    <mergeCell ref="K2:L3"/>
    <mergeCell ref="M2:M4"/>
    <mergeCell ref="B29:B35"/>
    <mergeCell ref="C29:C35"/>
    <mergeCell ref="D2:D4"/>
    <mergeCell ref="F2:F4"/>
    <mergeCell ref="G2:G4"/>
    <mergeCell ref="D29:D35"/>
    <mergeCell ref="M29:M35"/>
    <mergeCell ref="E2:E4"/>
    <mergeCell ref="A12:A21"/>
    <mergeCell ref="B12:B21"/>
    <mergeCell ref="C12:C21"/>
    <mergeCell ref="D12:D21"/>
    <mergeCell ref="A2:A4"/>
    <mergeCell ref="B2:B4"/>
    <mergeCell ref="C2:C4"/>
    <mergeCell ref="A29:A35"/>
    <mergeCell ref="A43:A49"/>
    <mergeCell ref="B43:B49"/>
    <mergeCell ref="C43:C49"/>
    <mergeCell ref="D43:D49"/>
    <mergeCell ref="M43:M49"/>
    <mergeCell ref="A22:A28"/>
    <mergeCell ref="B22:B28"/>
    <mergeCell ref="C22:C28"/>
    <mergeCell ref="D22:D28"/>
    <mergeCell ref="M22:M28"/>
    <mergeCell ref="A58:A64"/>
    <mergeCell ref="B58:B64"/>
    <mergeCell ref="C58:C64"/>
    <mergeCell ref="D58:D64"/>
    <mergeCell ref="M58:M64"/>
    <mergeCell ref="A36:A42"/>
    <mergeCell ref="B36:B42"/>
    <mergeCell ref="C36:C42"/>
    <mergeCell ref="D36:D42"/>
    <mergeCell ref="M36:M42"/>
    <mergeCell ref="A72:A78"/>
    <mergeCell ref="B72:B78"/>
    <mergeCell ref="C72:C78"/>
    <mergeCell ref="D72:D78"/>
    <mergeCell ref="M72:M78"/>
    <mergeCell ref="A50:A57"/>
    <mergeCell ref="B50:B57"/>
    <mergeCell ref="C50:C57"/>
    <mergeCell ref="D50:D57"/>
    <mergeCell ref="M50:M57"/>
    <mergeCell ref="A86:A92"/>
    <mergeCell ref="B86:B92"/>
    <mergeCell ref="C86:C92"/>
    <mergeCell ref="D86:D92"/>
    <mergeCell ref="M86:M92"/>
    <mergeCell ref="A65:A71"/>
    <mergeCell ref="B65:B71"/>
    <mergeCell ref="C65:C71"/>
    <mergeCell ref="D65:D71"/>
    <mergeCell ref="M65:M71"/>
    <mergeCell ref="A100:A106"/>
    <mergeCell ref="B100:B106"/>
    <mergeCell ref="C100:C106"/>
    <mergeCell ref="D100:D106"/>
    <mergeCell ref="M100:M106"/>
    <mergeCell ref="A79:A85"/>
    <mergeCell ref="B79:B85"/>
    <mergeCell ref="C79:C85"/>
    <mergeCell ref="D79:D85"/>
    <mergeCell ref="M79:M85"/>
    <mergeCell ref="A114:A120"/>
    <mergeCell ref="B114:B120"/>
    <mergeCell ref="C114:C120"/>
    <mergeCell ref="D114:D120"/>
    <mergeCell ref="M114:M120"/>
    <mergeCell ref="A93:A99"/>
    <mergeCell ref="B93:B99"/>
    <mergeCell ref="C93:C99"/>
    <mergeCell ref="D93:D99"/>
    <mergeCell ref="M93:M99"/>
    <mergeCell ref="A128:A134"/>
    <mergeCell ref="B128:B134"/>
    <mergeCell ref="C128:C134"/>
    <mergeCell ref="D128:D134"/>
    <mergeCell ref="M128:M134"/>
    <mergeCell ref="A107:A113"/>
    <mergeCell ref="B107:B113"/>
    <mergeCell ref="C107:C113"/>
    <mergeCell ref="D107:D113"/>
    <mergeCell ref="M107:M113"/>
    <mergeCell ref="A135:A144"/>
    <mergeCell ref="B135:B144"/>
    <mergeCell ref="C135:C144"/>
    <mergeCell ref="D135:D144"/>
    <mergeCell ref="M135:M144"/>
    <mergeCell ref="A121:A127"/>
    <mergeCell ref="B121:B127"/>
    <mergeCell ref="C121:C127"/>
    <mergeCell ref="D121:D127"/>
    <mergeCell ref="M121:M127"/>
    <mergeCell ref="A145:A151"/>
    <mergeCell ref="B145:B151"/>
    <mergeCell ref="C145:C151"/>
    <mergeCell ref="D145:D151"/>
    <mergeCell ref="M145:M151"/>
    <mergeCell ref="A152:A158"/>
    <mergeCell ref="B152:B158"/>
    <mergeCell ref="C152:C158"/>
    <mergeCell ref="D152:D158"/>
    <mergeCell ref="A159:A165"/>
    <mergeCell ref="B159:B165"/>
    <mergeCell ref="C159:C165"/>
    <mergeCell ref="D159:D165"/>
    <mergeCell ref="M159:M165"/>
    <mergeCell ref="A166:A172"/>
    <mergeCell ref="B166:B172"/>
    <mergeCell ref="C166:C172"/>
    <mergeCell ref="D166:D172"/>
    <mergeCell ref="M166:M172"/>
    <mergeCell ref="M173:M179"/>
    <mergeCell ref="A180:A186"/>
    <mergeCell ref="B180:B186"/>
    <mergeCell ref="C180:C186"/>
    <mergeCell ref="D180:D186"/>
    <mergeCell ref="M180:M186"/>
    <mergeCell ref="A187:A193"/>
    <mergeCell ref="B187:B193"/>
    <mergeCell ref="C187:C193"/>
    <mergeCell ref="D187:D193"/>
    <mergeCell ref="M187:M193"/>
    <mergeCell ref="H2:J3"/>
    <mergeCell ref="A173:A179"/>
    <mergeCell ref="B173:B179"/>
    <mergeCell ref="C173:C179"/>
    <mergeCell ref="D173:D179"/>
    <mergeCell ref="A204:G204"/>
    <mergeCell ref="A194:A200"/>
    <mergeCell ref="B194:B200"/>
    <mergeCell ref="C194:C200"/>
    <mergeCell ref="D194:D200"/>
    <mergeCell ref="M194:M200"/>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B215"/>
  <sheetViews>
    <sheetView zoomScalePageLayoutView="0" workbookViewId="0" topLeftCell="A1">
      <selection activeCell="F29" sqref="F29"/>
    </sheetView>
  </sheetViews>
  <sheetFormatPr defaultColWidth="9.140625" defaultRowHeight="15"/>
  <cols>
    <col min="1" max="6" width="9.140625" style="256" customWidth="1"/>
    <col min="7" max="7" width="12.28125" style="256" bestFit="1" customWidth="1"/>
    <col min="8" max="8" width="12.28125" style="102" bestFit="1" customWidth="1"/>
    <col min="9" max="14" width="12.28125" style="256" bestFit="1" customWidth="1"/>
    <col min="15" max="15" width="10.140625" style="256" bestFit="1" customWidth="1"/>
    <col min="16" max="18" width="12.28125" style="256" bestFit="1" customWidth="1"/>
    <col min="19" max="19" width="12.28125" style="258" bestFit="1" customWidth="1"/>
    <col min="20" max="23" width="10.00390625" style="102" bestFit="1" customWidth="1"/>
    <col min="24" max="24" width="11.28125" style="102" bestFit="1" customWidth="1"/>
    <col min="25" max="25" width="10.00390625" style="102" bestFit="1" customWidth="1"/>
    <col min="26" max="26" width="11.28125" style="102" bestFit="1" customWidth="1"/>
    <col min="27" max="27" width="10.00390625" style="102" bestFit="1" customWidth="1"/>
    <col min="28" max="28" width="12.28125" style="102" bestFit="1" customWidth="1"/>
    <col min="29" max="29" width="10.00390625" style="102" bestFit="1" customWidth="1"/>
    <col min="30" max="30" width="12.28125" style="102" bestFit="1" customWidth="1"/>
    <col min="31" max="31" width="10.00390625" style="102" bestFit="1" customWidth="1"/>
    <col min="32" max="32" width="12.28125" style="102" bestFit="1" customWidth="1"/>
    <col min="33" max="33" width="10.00390625" style="102" bestFit="1" customWidth="1"/>
    <col min="34" max="34" width="12.28125" style="102" bestFit="1" customWidth="1"/>
    <col min="35" max="35" width="9.7109375" style="102" bestFit="1" customWidth="1"/>
    <col min="36" max="36" width="12.28125" style="102" bestFit="1" customWidth="1"/>
    <col min="37" max="37" width="9.7109375" style="102" bestFit="1" customWidth="1"/>
    <col min="38" max="38" width="12.28125" style="102" bestFit="1" customWidth="1"/>
    <col min="39" max="39" width="9.7109375" style="259" bestFit="1" customWidth="1"/>
    <col min="40" max="40" width="12.28125" style="260" bestFit="1" customWidth="1"/>
    <col min="41" max="42" width="9.7109375" style="259" bestFit="1" customWidth="1"/>
    <col min="43" max="43" width="12.28125" style="260" bestFit="1" customWidth="1"/>
    <col min="44" max="45" width="9.7109375" style="261" bestFit="1" customWidth="1"/>
    <col min="46" max="46" width="10.421875" style="102" bestFit="1" customWidth="1"/>
    <col min="47" max="47" width="9.7109375" style="262" bestFit="1" customWidth="1"/>
    <col min="48" max="48" width="9.140625" style="101" customWidth="1"/>
    <col min="49" max="50" width="10.00390625" style="102" bestFit="1" customWidth="1"/>
    <col min="51" max="51" width="9.7109375" style="102" bestFit="1" customWidth="1"/>
    <col min="52" max="52" width="9.140625" style="101" customWidth="1"/>
    <col min="53" max="53" width="9.140625" style="103" customWidth="1"/>
    <col min="54" max="54" width="10.00390625" style="102" bestFit="1" customWidth="1"/>
  </cols>
  <sheetData>
    <row r="1" spans="1:53" s="102" customFormat="1" ht="165.75">
      <c r="A1" s="270"/>
      <c r="B1" s="270" t="s">
        <v>97</v>
      </c>
      <c r="C1" s="272"/>
      <c r="D1" s="272"/>
      <c r="E1" s="272"/>
      <c r="F1" s="272"/>
      <c r="G1" s="272"/>
      <c r="H1" s="98"/>
      <c r="I1" s="272"/>
      <c r="J1" s="272"/>
      <c r="K1" s="272"/>
      <c r="L1" s="272"/>
      <c r="M1" s="272"/>
      <c r="N1" s="272"/>
      <c r="O1" s="272"/>
      <c r="P1" s="272"/>
      <c r="Q1" s="272"/>
      <c r="R1" s="272"/>
      <c r="S1" s="273"/>
      <c r="T1" s="99"/>
      <c r="U1" s="99"/>
      <c r="V1" s="99"/>
      <c r="W1" s="99"/>
      <c r="X1" s="99"/>
      <c r="Y1" s="99"/>
      <c r="Z1" s="99"/>
      <c r="AA1" s="99"/>
      <c r="AB1" s="99"/>
      <c r="AC1" s="99"/>
      <c r="AD1" s="99"/>
      <c r="AE1" s="99"/>
      <c r="AF1" s="99"/>
      <c r="AG1" s="99"/>
      <c r="AH1" s="99"/>
      <c r="AI1" s="99"/>
      <c r="AJ1" s="99"/>
      <c r="AK1" s="99"/>
      <c r="AL1" s="99"/>
      <c r="AM1" s="105"/>
      <c r="AN1" s="104"/>
      <c r="AO1" s="105"/>
      <c r="AP1" s="105"/>
      <c r="AQ1" s="104"/>
      <c r="AR1" s="106"/>
      <c r="AS1" s="106"/>
      <c r="AT1" s="99"/>
      <c r="AU1" s="100"/>
      <c r="AV1" s="101"/>
      <c r="AZ1" s="101"/>
      <c r="BA1" s="103"/>
    </row>
    <row r="2" spans="1:53" s="102" customFormat="1" ht="270.75">
      <c r="A2" s="108"/>
      <c r="B2" s="108" t="s">
        <v>39</v>
      </c>
      <c r="C2" s="108" t="s">
        <v>50</v>
      </c>
      <c r="D2" s="109" t="s">
        <v>0</v>
      </c>
      <c r="E2" s="108" t="s">
        <v>49</v>
      </c>
      <c r="F2" s="108" t="s">
        <v>28</v>
      </c>
      <c r="G2" s="110" t="s">
        <v>79</v>
      </c>
      <c r="H2" s="110" t="s">
        <v>81</v>
      </c>
      <c r="I2" s="110" t="s">
        <v>209</v>
      </c>
      <c r="J2" s="110" t="s">
        <v>88</v>
      </c>
      <c r="K2" s="110" t="s">
        <v>89</v>
      </c>
      <c r="L2" s="110" t="s">
        <v>17</v>
      </c>
      <c r="M2" s="110" t="s">
        <v>18</v>
      </c>
      <c r="N2" s="110" t="s">
        <v>19</v>
      </c>
      <c r="O2" s="110" t="s">
        <v>20</v>
      </c>
      <c r="P2" s="110" t="s">
        <v>21</v>
      </c>
      <c r="Q2" s="110" t="s">
        <v>22</v>
      </c>
      <c r="R2" s="110" t="s">
        <v>113</v>
      </c>
      <c r="S2" s="111" t="s">
        <v>16</v>
      </c>
      <c r="T2" s="112" t="s">
        <v>78</v>
      </c>
      <c r="V2" s="112" t="s">
        <v>80</v>
      </c>
      <c r="X2" s="113" t="s">
        <v>96</v>
      </c>
      <c r="Z2" s="112" t="s">
        <v>85</v>
      </c>
      <c r="AB2" s="112" t="s">
        <v>99</v>
      </c>
      <c r="AD2" s="114" t="s">
        <v>100</v>
      </c>
      <c r="AF2" s="112" t="s">
        <v>101</v>
      </c>
      <c r="AH2" s="115" t="s">
        <v>86</v>
      </c>
      <c r="AJ2" s="112" t="s">
        <v>87</v>
      </c>
      <c r="AL2" s="112" t="s">
        <v>112</v>
      </c>
      <c r="AM2" s="259"/>
      <c r="AN2" s="283" t="s">
        <v>170</v>
      </c>
      <c r="AO2" s="259"/>
      <c r="AP2" s="259"/>
      <c r="AQ2" s="116" t="s">
        <v>84</v>
      </c>
      <c r="AR2" s="261"/>
      <c r="AS2" s="261"/>
      <c r="AT2" s="117" t="s">
        <v>132</v>
      </c>
      <c r="AU2" s="118" t="s">
        <v>172</v>
      </c>
      <c r="AV2" s="295" t="s">
        <v>186</v>
      </c>
      <c r="AW2" s="108" t="s">
        <v>120</v>
      </c>
      <c r="AZ2" s="301" t="s">
        <v>103</v>
      </c>
      <c r="BA2" s="103"/>
    </row>
    <row r="3" spans="1:53" s="102" customFormat="1" ht="15">
      <c r="A3" s="256"/>
      <c r="B3" s="256"/>
      <c r="C3" s="256"/>
      <c r="D3" s="256"/>
      <c r="E3" s="256"/>
      <c r="F3" s="256"/>
      <c r="G3" s="256"/>
      <c r="I3" s="256"/>
      <c r="J3" s="256"/>
      <c r="K3" s="256"/>
      <c r="L3" s="256"/>
      <c r="M3" s="256"/>
      <c r="N3" s="256"/>
      <c r="O3" s="256"/>
      <c r="P3" s="256"/>
      <c r="Q3" s="256"/>
      <c r="R3" s="256"/>
      <c r="S3" s="258"/>
      <c r="AM3" s="259"/>
      <c r="AN3" s="260"/>
      <c r="AO3" s="259"/>
      <c r="AP3" s="259"/>
      <c r="AQ3" s="260"/>
      <c r="AR3" s="261"/>
      <c r="AS3" s="261"/>
      <c r="AT3" s="119"/>
      <c r="AU3" s="262"/>
      <c r="AV3" s="101"/>
      <c r="AZ3" s="101"/>
      <c r="BA3" s="103"/>
    </row>
    <row r="4" spans="1:53" s="102" customFormat="1" ht="25.5">
      <c r="A4" s="256"/>
      <c r="B4" s="256"/>
      <c r="C4" s="256"/>
      <c r="D4" s="256"/>
      <c r="E4" s="256"/>
      <c r="F4" s="256"/>
      <c r="G4" s="256"/>
      <c r="I4" s="256"/>
      <c r="J4" s="256"/>
      <c r="K4" s="256"/>
      <c r="L4" s="256"/>
      <c r="M4" s="256"/>
      <c r="N4" s="256"/>
      <c r="O4" s="256"/>
      <c r="P4" s="256"/>
      <c r="Q4" s="256"/>
      <c r="R4" s="256"/>
      <c r="S4" s="258"/>
      <c r="T4" s="108" t="s">
        <v>40</v>
      </c>
      <c r="U4" s="108" t="s">
        <v>2</v>
      </c>
      <c r="V4" s="120" t="s">
        <v>40</v>
      </c>
      <c r="W4" s="120" t="s">
        <v>2</v>
      </c>
      <c r="X4" s="120" t="s">
        <v>40</v>
      </c>
      <c r="Y4" s="120" t="s">
        <v>2</v>
      </c>
      <c r="Z4" s="120" t="s">
        <v>40</v>
      </c>
      <c r="AA4" s="120" t="s">
        <v>2</v>
      </c>
      <c r="AB4" s="120" t="s">
        <v>40</v>
      </c>
      <c r="AC4" s="120" t="s">
        <v>2</v>
      </c>
      <c r="AD4" s="120" t="s">
        <v>40</v>
      </c>
      <c r="AE4" s="120" t="s">
        <v>2</v>
      </c>
      <c r="AF4" s="120" t="s">
        <v>40</v>
      </c>
      <c r="AG4" s="120" t="s">
        <v>2</v>
      </c>
      <c r="AH4" s="120" t="s">
        <v>40</v>
      </c>
      <c r="AI4" s="120" t="s">
        <v>2</v>
      </c>
      <c r="AJ4" s="120" t="s">
        <v>40</v>
      </c>
      <c r="AK4" s="120" t="s">
        <v>2</v>
      </c>
      <c r="AL4" s="120" t="s">
        <v>40</v>
      </c>
      <c r="AM4" s="120" t="s">
        <v>2</v>
      </c>
      <c r="AN4" s="121" t="s">
        <v>40</v>
      </c>
      <c r="AO4" s="108" t="s">
        <v>82</v>
      </c>
      <c r="AP4" s="120" t="s">
        <v>2</v>
      </c>
      <c r="AQ4" s="121" t="s">
        <v>40</v>
      </c>
      <c r="AR4" s="122" t="s">
        <v>82</v>
      </c>
      <c r="AS4" s="121" t="s">
        <v>2</v>
      </c>
      <c r="AT4" s="123" t="s">
        <v>40</v>
      </c>
      <c r="AU4" s="262"/>
      <c r="AV4" s="101"/>
      <c r="AW4" s="124" t="s">
        <v>187</v>
      </c>
      <c r="AX4" s="124" t="s">
        <v>188</v>
      </c>
      <c r="AY4" s="124" t="s">
        <v>1</v>
      </c>
      <c r="AZ4" s="101"/>
      <c r="BA4" s="103"/>
    </row>
    <row r="5" spans="1:53" s="102" customFormat="1" ht="38.25">
      <c r="A5" s="110"/>
      <c r="B5" s="110"/>
      <c r="C5" s="125" t="s">
        <v>83</v>
      </c>
      <c r="D5" s="126"/>
      <c r="E5" s="127"/>
      <c r="F5" s="128" t="s">
        <v>5</v>
      </c>
      <c r="G5" s="129">
        <f aca="true" t="shared" si="0" ref="G5:W5">G195</f>
        <v>235934597.31</v>
      </c>
      <c r="H5" s="129">
        <f t="shared" si="0"/>
        <v>276273110.40000004</v>
      </c>
      <c r="I5" s="129">
        <f t="shared" si="0"/>
        <v>250460067.48999995</v>
      </c>
      <c r="J5" s="129">
        <f t="shared" si="0"/>
        <v>272732824.89</v>
      </c>
      <c r="K5" s="129">
        <f t="shared" si="0"/>
        <v>269907474.5900001</v>
      </c>
      <c r="L5" s="129">
        <f t="shared" si="0"/>
        <v>269536705.5900001</v>
      </c>
      <c r="M5" s="129">
        <f t="shared" si="0"/>
        <v>268738185.505</v>
      </c>
      <c r="N5" s="129">
        <f t="shared" si="0"/>
        <v>261366001.81500003</v>
      </c>
      <c r="O5" s="129">
        <f t="shared" si="0"/>
        <v>265303330.216</v>
      </c>
      <c r="P5" s="129">
        <f t="shared" si="0"/>
        <v>265913887.95199996</v>
      </c>
      <c r="Q5" s="129">
        <f t="shared" si="0"/>
        <v>271195437.352</v>
      </c>
      <c r="R5" s="129">
        <f t="shared" si="0"/>
        <v>272049764.25100005</v>
      </c>
      <c r="S5" s="133">
        <f t="shared" si="0"/>
        <v>259396075.80000004</v>
      </c>
      <c r="T5" s="129">
        <f t="shared" si="0"/>
        <v>19891084.6</v>
      </c>
      <c r="U5" s="129">
        <f t="shared" si="0"/>
        <v>12524936.105586067</v>
      </c>
      <c r="V5" s="129">
        <f t="shared" si="0"/>
        <v>35672472.42315</v>
      </c>
      <c r="W5" s="129">
        <f t="shared" si="0"/>
        <v>12525114.140964644</v>
      </c>
      <c r="X5" s="129">
        <f>X7+X8+X9+X10+X11</f>
        <v>48374878.867</v>
      </c>
      <c r="Y5" s="129">
        <f aca="true" t="shared" si="1" ref="Y5:AD5">Y195</f>
        <v>12525334.017881433</v>
      </c>
      <c r="Z5" s="129">
        <f t="shared" si="1"/>
        <v>67164605.23925002</v>
      </c>
      <c r="AA5" s="129">
        <f t="shared" si="1"/>
        <v>24.884307239462583</v>
      </c>
      <c r="AB5" s="129">
        <f t="shared" si="1"/>
        <v>83874740.54500002</v>
      </c>
      <c r="AC5" s="129">
        <f t="shared" si="1"/>
        <v>31.118114455470216</v>
      </c>
      <c r="AD5" s="129">
        <f t="shared" si="1"/>
        <v>103247040.76218899</v>
      </c>
      <c r="AE5" s="134">
        <f>IF(O5=0,0,AD5*100/O5)</f>
        <v>38.9166018678051</v>
      </c>
      <c r="AF5" s="129">
        <f aca="true" t="shared" si="2" ref="AF5:AT5">AF195</f>
        <v>122186460.30000006</v>
      </c>
      <c r="AG5" s="129">
        <f t="shared" si="2"/>
        <v>46.749179101911665</v>
      </c>
      <c r="AH5" s="129">
        <f t="shared" si="2"/>
        <v>131594516.42959884</v>
      </c>
      <c r="AI5" s="129">
        <f t="shared" si="2"/>
        <v>49.60153207366811</v>
      </c>
      <c r="AJ5" s="129">
        <f t="shared" si="2"/>
        <v>148131529.5805433</v>
      </c>
      <c r="AK5" s="129">
        <f t="shared" si="2"/>
        <v>55.70657881820843</v>
      </c>
      <c r="AL5" s="129">
        <f t="shared" si="2"/>
        <v>170830461.9956</v>
      </c>
      <c r="AM5" s="129">
        <f t="shared" si="2"/>
        <v>62.99164309828318</v>
      </c>
      <c r="AN5" s="133">
        <f t="shared" si="2"/>
        <v>204650436.10700005</v>
      </c>
      <c r="AO5" s="129">
        <f t="shared" si="2"/>
        <v>81.70980634075373</v>
      </c>
      <c r="AP5" s="129">
        <f t="shared" si="2"/>
        <v>75.22536792870893</v>
      </c>
      <c r="AQ5" s="133">
        <f t="shared" si="2"/>
        <v>244306034.6415399</v>
      </c>
      <c r="AR5" s="133">
        <f t="shared" si="2"/>
        <v>97.5429085721596</v>
      </c>
      <c r="AS5" s="133">
        <f t="shared" si="2"/>
        <v>94.18262550351962</v>
      </c>
      <c r="AT5" s="130">
        <f t="shared" si="2"/>
        <v>259058151.97569996</v>
      </c>
      <c r="AU5" s="129">
        <f>AT5*100/I5</f>
        <v>103.4329163015351</v>
      </c>
      <c r="AV5" s="131"/>
      <c r="AW5" s="129">
        <f>AW195</f>
        <v>44128259.70542001</v>
      </c>
      <c r="AX5" s="129">
        <f>AX195</f>
        <v>37080149.74246</v>
      </c>
      <c r="AY5" s="129">
        <f>AY195</f>
        <v>84.028126171279</v>
      </c>
      <c r="AZ5" s="132"/>
      <c r="BA5" s="103"/>
    </row>
    <row r="6" spans="1:53" s="102" customFormat="1" ht="25.5">
      <c r="A6" s="256"/>
      <c r="B6" s="256"/>
      <c r="C6" s="256"/>
      <c r="D6" s="256"/>
      <c r="E6" s="256"/>
      <c r="F6" s="136" t="s">
        <v>29</v>
      </c>
      <c r="G6" s="137"/>
      <c r="H6" s="137"/>
      <c r="I6" s="137"/>
      <c r="J6" s="137"/>
      <c r="K6" s="137"/>
      <c r="L6" s="137"/>
      <c r="M6" s="137"/>
      <c r="N6" s="137"/>
      <c r="O6" s="137"/>
      <c r="P6" s="137"/>
      <c r="Q6" s="137"/>
      <c r="R6" s="137"/>
      <c r="S6" s="139"/>
      <c r="T6" s="137"/>
      <c r="U6" s="137"/>
      <c r="V6" s="137"/>
      <c r="W6" s="137"/>
      <c r="X6" s="137"/>
      <c r="Y6" s="137"/>
      <c r="Z6" s="137"/>
      <c r="AA6" s="137"/>
      <c r="AB6" s="137"/>
      <c r="AC6" s="137"/>
      <c r="AD6" s="137"/>
      <c r="AE6" s="138"/>
      <c r="AF6" s="137"/>
      <c r="AG6" s="137"/>
      <c r="AH6" s="137"/>
      <c r="AI6" s="137"/>
      <c r="AJ6" s="137"/>
      <c r="AK6" s="137"/>
      <c r="AL6" s="137"/>
      <c r="AM6" s="137"/>
      <c r="AN6" s="139"/>
      <c r="AO6" s="138"/>
      <c r="AP6" s="137"/>
      <c r="AQ6" s="139"/>
      <c r="AR6" s="140"/>
      <c r="AS6" s="139"/>
      <c r="AT6" s="142"/>
      <c r="AU6" s="143"/>
      <c r="AV6" s="101"/>
      <c r="AW6" s="129"/>
      <c r="AX6" s="129"/>
      <c r="AY6" s="129"/>
      <c r="AZ6" s="141"/>
      <c r="BA6" s="103"/>
    </row>
    <row r="7" spans="1:53" s="102" customFormat="1" ht="38.25">
      <c r="A7" s="256"/>
      <c r="B7" s="256"/>
      <c r="C7" s="256"/>
      <c r="D7" s="256"/>
      <c r="E7" s="256"/>
      <c r="F7" s="144" t="s">
        <v>27</v>
      </c>
      <c r="G7" s="129">
        <f aca="true" t="shared" si="3" ref="G7:AD7">G197</f>
        <v>5311519.799999999</v>
      </c>
      <c r="H7" s="129">
        <f t="shared" si="3"/>
        <v>5369489.799999999</v>
      </c>
      <c r="I7" s="129">
        <f t="shared" si="3"/>
        <v>6033808.099999998</v>
      </c>
      <c r="J7" s="129">
        <f t="shared" si="3"/>
        <v>5396754.099999999</v>
      </c>
      <c r="K7" s="129">
        <f t="shared" si="3"/>
        <v>5426053.799999999</v>
      </c>
      <c r="L7" s="129">
        <f t="shared" si="3"/>
        <v>5426053.799999999</v>
      </c>
      <c r="M7" s="129">
        <f t="shared" si="3"/>
        <v>5698205.8999999985</v>
      </c>
      <c r="N7" s="129">
        <f t="shared" si="3"/>
        <v>5692490.099999999</v>
      </c>
      <c r="O7" s="129">
        <f t="shared" si="3"/>
        <v>6288504.3610000005</v>
      </c>
      <c r="P7" s="129">
        <f t="shared" si="3"/>
        <v>6389334.462</v>
      </c>
      <c r="Q7" s="129">
        <f t="shared" si="3"/>
        <v>6152269.861999999</v>
      </c>
      <c r="R7" s="129">
        <f t="shared" si="3"/>
        <v>6146061.960999999</v>
      </c>
      <c r="S7" s="133">
        <f t="shared" si="3"/>
        <v>6236364.8999999985</v>
      </c>
      <c r="T7" s="129">
        <f t="shared" si="3"/>
        <v>222591.5</v>
      </c>
      <c r="U7" s="129">
        <f t="shared" si="3"/>
        <v>4.190730871416502</v>
      </c>
      <c r="V7" s="129">
        <f t="shared" si="3"/>
        <v>675109.8</v>
      </c>
      <c r="W7" s="129">
        <f t="shared" si="3"/>
        <v>12.573071653846892</v>
      </c>
      <c r="X7" s="129">
        <f t="shared" si="3"/>
        <v>1127260.4000000001</v>
      </c>
      <c r="Y7" s="129">
        <f t="shared" si="3"/>
        <v>20.88774806322935</v>
      </c>
      <c r="Z7" s="129">
        <f t="shared" si="3"/>
        <v>1394164.23</v>
      </c>
      <c r="AA7" s="129">
        <f t="shared" si="3"/>
        <v>25.69388880736863</v>
      </c>
      <c r="AB7" s="129">
        <f t="shared" si="3"/>
        <v>1595547.4000000001</v>
      </c>
      <c r="AC7" s="129">
        <f t="shared" si="3"/>
        <v>29.405300035911925</v>
      </c>
      <c r="AD7" s="129">
        <f t="shared" si="3"/>
        <v>1988736.808</v>
      </c>
      <c r="AE7" s="134">
        <f aca="true" t="shared" si="4" ref="AE7:AE12">IF(O7=0,0,AD7*100/O7)</f>
        <v>31.62495712547697</v>
      </c>
      <c r="AF7" s="129">
        <f aca="true" t="shared" si="5" ref="AF7:AT7">AF197</f>
        <v>2288400.6</v>
      </c>
      <c r="AG7" s="129">
        <f t="shared" si="5"/>
        <v>40.20034395843746</v>
      </c>
      <c r="AH7" s="129">
        <f t="shared" si="5"/>
        <v>2857399.0400000005</v>
      </c>
      <c r="AI7" s="129">
        <f t="shared" si="5"/>
        <v>45.43845207011379</v>
      </c>
      <c r="AJ7" s="129">
        <f t="shared" si="5"/>
        <v>3258876.551</v>
      </c>
      <c r="AK7" s="129">
        <f t="shared" si="5"/>
        <v>51.00494535670153</v>
      </c>
      <c r="AL7" s="129">
        <f t="shared" si="5"/>
        <v>3889104.950000001</v>
      </c>
      <c r="AM7" s="129">
        <f t="shared" si="5"/>
        <v>63.21414757862587</v>
      </c>
      <c r="AN7" s="133">
        <f t="shared" si="5"/>
        <v>5124158.599999998</v>
      </c>
      <c r="AO7" s="129">
        <f t="shared" si="5"/>
        <v>84.92412279402787</v>
      </c>
      <c r="AP7" s="129">
        <f t="shared" si="5"/>
        <v>83.37303841899876</v>
      </c>
      <c r="AQ7" s="133">
        <f t="shared" si="5"/>
        <v>5748789.20036</v>
      </c>
      <c r="AR7" s="133">
        <f t="shared" si="5"/>
        <v>95.27630155092275</v>
      </c>
      <c r="AS7" s="133">
        <f t="shared" si="5"/>
        <v>92.18173234795805</v>
      </c>
      <c r="AT7" s="130">
        <f t="shared" si="5"/>
        <v>5846061.9072</v>
      </c>
      <c r="AU7" s="129">
        <f aca="true" t="shared" si="6" ref="AU7:AU12">AT7*100/I7</f>
        <v>96.88842950109736</v>
      </c>
      <c r="AV7" s="101"/>
      <c r="AW7" s="129">
        <f aca="true" t="shared" si="7" ref="AW7:AY11">AW197</f>
        <v>1690023.0599999998</v>
      </c>
      <c r="AX7" s="129">
        <f t="shared" si="7"/>
        <v>1351054.56036</v>
      </c>
      <c r="AY7" s="129">
        <f t="shared" si="7"/>
        <v>79.94296600662953</v>
      </c>
      <c r="AZ7" s="141"/>
      <c r="BA7" s="103"/>
    </row>
    <row r="8" spans="1:53" s="102" customFormat="1" ht="51">
      <c r="A8" s="256"/>
      <c r="B8" s="256"/>
      <c r="C8" s="256"/>
      <c r="D8" s="256"/>
      <c r="E8" s="256"/>
      <c r="F8" s="145" t="s">
        <v>30</v>
      </c>
      <c r="G8" s="129">
        <f aca="true" t="shared" si="8" ref="G8:AD8">G198</f>
        <v>176778894.7</v>
      </c>
      <c r="H8" s="129">
        <f t="shared" si="8"/>
        <v>176778894.7</v>
      </c>
      <c r="I8" s="129">
        <f t="shared" si="8"/>
        <v>174813440.19999996</v>
      </c>
      <c r="J8" s="129">
        <f t="shared" si="8"/>
        <v>177121043.39999998</v>
      </c>
      <c r="K8" s="129">
        <f t="shared" si="8"/>
        <v>177272728.59999996</v>
      </c>
      <c r="L8" s="129">
        <f t="shared" si="8"/>
        <v>177160951.59999996</v>
      </c>
      <c r="M8" s="129">
        <f t="shared" si="8"/>
        <v>177176789.265</v>
      </c>
      <c r="N8" s="129">
        <f t="shared" si="8"/>
        <v>178286990.86499998</v>
      </c>
      <c r="O8" s="129">
        <f t="shared" si="8"/>
        <v>178318309.36499998</v>
      </c>
      <c r="P8" s="129">
        <f t="shared" si="8"/>
        <v>178496291.89999998</v>
      </c>
      <c r="Q8" s="129">
        <f t="shared" si="8"/>
        <v>181235174.7</v>
      </c>
      <c r="R8" s="129">
        <f t="shared" si="8"/>
        <v>183179379.99999997</v>
      </c>
      <c r="S8" s="133">
        <f t="shared" si="8"/>
        <v>183601468.1</v>
      </c>
      <c r="T8" s="129">
        <f t="shared" si="8"/>
        <v>16876445.4</v>
      </c>
      <c r="U8" s="129">
        <f t="shared" si="8"/>
        <v>9.546640411254929</v>
      </c>
      <c r="V8" s="129">
        <f t="shared" si="8"/>
        <v>28989338.92315</v>
      </c>
      <c r="W8" s="129">
        <f t="shared" si="8"/>
        <v>16.39864248067957</v>
      </c>
      <c r="X8" s="129">
        <f t="shared" si="8"/>
        <v>40975436.43</v>
      </c>
      <c r="Y8" s="129">
        <f t="shared" si="8"/>
        <v>23.13414354581428</v>
      </c>
      <c r="Z8" s="129">
        <f t="shared" si="8"/>
        <v>55763670.55425002</v>
      </c>
      <c r="AA8" s="129">
        <f t="shared" si="8"/>
        <v>31.456429307903164</v>
      </c>
      <c r="AB8" s="129">
        <f t="shared" si="8"/>
        <v>69917693.39999999</v>
      </c>
      <c r="AC8" s="129">
        <f t="shared" si="8"/>
        <v>39.465634367251845</v>
      </c>
      <c r="AD8" s="129">
        <f t="shared" si="8"/>
        <v>83948776.29418904</v>
      </c>
      <c r="AE8" s="134">
        <f t="shared" si="4"/>
        <v>47.07804632801569</v>
      </c>
      <c r="AF8" s="129">
        <f aca="true" t="shared" si="9" ref="AF8:AT8">AF198</f>
        <v>96108139.50000004</v>
      </c>
      <c r="AG8" s="129">
        <f t="shared" si="9"/>
        <v>53.90642302823638</v>
      </c>
      <c r="AH8" s="129">
        <f t="shared" si="9"/>
        <v>101567296.39999996</v>
      </c>
      <c r="AI8" s="129">
        <f t="shared" si="9"/>
        <v>56.95842270021848</v>
      </c>
      <c r="AJ8" s="129">
        <f t="shared" si="9"/>
        <v>113113856.48800002</v>
      </c>
      <c r="AK8" s="129">
        <f t="shared" si="9"/>
        <v>63.37042371242673</v>
      </c>
      <c r="AL8" s="129">
        <f t="shared" si="9"/>
        <v>129193764.55000004</v>
      </c>
      <c r="AM8" s="129">
        <f t="shared" si="9"/>
        <v>71.28514912397965</v>
      </c>
      <c r="AN8" s="133">
        <f t="shared" si="9"/>
        <v>150313659.9</v>
      </c>
      <c r="AO8" s="129">
        <f t="shared" si="9"/>
        <v>85.98518496520042</v>
      </c>
      <c r="AP8" s="129">
        <f t="shared" si="9"/>
        <v>82.0581770175224</v>
      </c>
      <c r="AQ8" s="133">
        <f t="shared" si="9"/>
        <v>172126781.02267998</v>
      </c>
      <c r="AR8" s="133">
        <f t="shared" si="9"/>
        <v>98.4631277925506</v>
      </c>
      <c r="AS8" s="133">
        <f t="shared" si="9"/>
        <v>93.75022041159811</v>
      </c>
      <c r="AT8" s="130">
        <f t="shared" si="9"/>
        <v>172143706.89999998</v>
      </c>
      <c r="AU8" s="129">
        <f t="shared" si="6"/>
        <v>98.47281004427028</v>
      </c>
      <c r="AV8" s="101"/>
      <c r="AW8" s="129">
        <f t="shared" si="7"/>
        <v>24662222.04541999</v>
      </c>
      <c r="AX8" s="129">
        <f t="shared" si="7"/>
        <v>17918270.1721</v>
      </c>
      <c r="AY8" s="129">
        <f t="shared" si="7"/>
        <v>72.65472729545712</v>
      </c>
      <c r="AZ8" s="141"/>
      <c r="BA8" s="103"/>
    </row>
    <row r="9" spans="1:53" s="102" customFormat="1" ht="63.75">
      <c r="A9" s="256"/>
      <c r="B9" s="256"/>
      <c r="C9" s="256"/>
      <c r="D9" s="256"/>
      <c r="E9" s="256"/>
      <c r="F9" s="145" t="s">
        <v>38</v>
      </c>
      <c r="G9" s="129">
        <f aca="true" t="shared" si="10" ref="G9:AD9">G199</f>
        <v>2232311.0999999996</v>
      </c>
      <c r="H9" s="129">
        <f t="shared" si="10"/>
        <v>2283149.5999999996</v>
      </c>
      <c r="I9" s="129">
        <f t="shared" si="10"/>
        <v>2909033.1900000004</v>
      </c>
      <c r="J9" s="129">
        <f t="shared" si="10"/>
        <v>2896683.29</v>
      </c>
      <c r="K9" s="129">
        <f t="shared" si="10"/>
        <v>2896683.29</v>
      </c>
      <c r="L9" s="129">
        <f t="shared" si="10"/>
        <v>2893108.29</v>
      </c>
      <c r="M9" s="129">
        <f t="shared" si="10"/>
        <v>2889697.29</v>
      </c>
      <c r="N9" s="129">
        <f t="shared" si="10"/>
        <v>3034764.89</v>
      </c>
      <c r="O9" s="129">
        <f t="shared" si="10"/>
        <v>3034764.89</v>
      </c>
      <c r="P9" s="129">
        <f t="shared" si="10"/>
        <v>3055384.99</v>
      </c>
      <c r="Q9" s="129">
        <f t="shared" si="10"/>
        <v>3469030.6900000004</v>
      </c>
      <c r="R9" s="129">
        <f t="shared" si="10"/>
        <v>3271731.49</v>
      </c>
      <c r="S9" s="133">
        <f t="shared" si="10"/>
        <v>3358017.29</v>
      </c>
      <c r="T9" s="129">
        <f t="shared" si="10"/>
        <v>372.5</v>
      </c>
      <c r="U9" s="129">
        <f t="shared" si="10"/>
        <v>0.01668674227351197</v>
      </c>
      <c r="V9" s="129">
        <f t="shared" si="10"/>
        <v>22030.199999999997</v>
      </c>
      <c r="W9" s="129">
        <f t="shared" si="10"/>
        <v>0.964903920443934</v>
      </c>
      <c r="X9" s="129">
        <f t="shared" si="10"/>
        <v>104418.3</v>
      </c>
      <c r="Y9" s="129">
        <f t="shared" si="10"/>
        <v>3.60475376650514</v>
      </c>
      <c r="Z9" s="129">
        <f t="shared" si="10"/>
        <v>207775.05</v>
      </c>
      <c r="AA9" s="129">
        <f t="shared" si="10"/>
        <v>7.172860447577616</v>
      </c>
      <c r="AB9" s="129">
        <f t="shared" si="10"/>
        <v>336707.79999999993</v>
      </c>
      <c r="AC9" s="129">
        <f t="shared" si="10"/>
        <v>11.638271583674454</v>
      </c>
      <c r="AD9" s="129">
        <f t="shared" si="10"/>
        <v>450814.9600000001</v>
      </c>
      <c r="AE9" s="134">
        <f t="shared" si="4"/>
        <v>14.855020943648787</v>
      </c>
      <c r="AF9" s="129">
        <f aca="true" t="shared" si="11" ref="AF9:AT9">AF199</f>
        <v>607384.2220000001</v>
      </c>
      <c r="AG9" s="129">
        <f t="shared" si="11"/>
        <v>20.01421012881166</v>
      </c>
      <c r="AH9" s="129">
        <f t="shared" si="11"/>
        <v>812139.806598889</v>
      </c>
      <c r="AI9" s="129">
        <f t="shared" si="11"/>
        <v>26.761210045463816</v>
      </c>
      <c r="AJ9" s="129">
        <f t="shared" si="11"/>
        <v>945226.6265433334</v>
      </c>
      <c r="AK9" s="129">
        <f t="shared" si="11"/>
        <v>30.936416511731746</v>
      </c>
      <c r="AL9" s="129">
        <f t="shared" si="11"/>
        <v>1193232.7506</v>
      </c>
      <c r="AM9" s="129">
        <f t="shared" si="11"/>
        <v>34.396719349865414</v>
      </c>
      <c r="AN9" s="133">
        <f t="shared" si="11"/>
        <v>1610655.7570000002</v>
      </c>
      <c r="AO9" s="129">
        <f t="shared" si="11"/>
        <v>55.36739018780325</v>
      </c>
      <c r="AP9" s="129">
        <f t="shared" si="11"/>
        <v>49.229460361369696</v>
      </c>
      <c r="AQ9" s="133">
        <f t="shared" si="11"/>
        <v>2517042.6684999997</v>
      </c>
      <c r="AR9" s="133">
        <f t="shared" si="11"/>
        <v>86.52505846796473</v>
      </c>
      <c r="AS9" s="133">
        <f t="shared" si="11"/>
        <v>74.95621526415665</v>
      </c>
      <c r="AT9" s="130">
        <f t="shared" si="11"/>
        <v>3025178.1685</v>
      </c>
      <c r="AU9" s="129">
        <f t="shared" si="6"/>
        <v>103.9925628521275</v>
      </c>
      <c r="AV9" s="101"/>
      <c r="AW9" s="129">
        <f t="shared" si="7"/>
        <v>709094.1499999998</v>
      </c>
      <c r="AX9" s="129">
        <f t="shared" si="7"/>
        <v>495243.94999999995</v>
      </c>
      <c r="AY9" s="129">
        <f t="shared" si="7"/>
        <v>69.84177630008654</v>
      </c>
      <c r="AZ9" s="141"/>
      <c r="BA9" s="103"/>
    </row>
    <row r="10" spans="1:53" s="102" customFormat="1" ht="51">
      <c r="A10" s="256"/>
      <c r="B10" s="256"/>
      <c r="C10" s="256"/>
      <c r="D10" s="256"/>
      <c r="E10" s="256"/>
      <c r="F10" s="145" t="s">
        <v>23</v>
      </c>
      <c r="G10" s="129">
        <f aca="true" t="shared" si="12" ref="G10:AD10">G200</f>
        <v>10511250.41</v>
      </c>
      <c r="H10" s="129">
        <f t="shared" si="12"/>
        <v>15700283.2</v>
      </c>
      <c r="I10" s="129">
        <f t="shared" si="12"/>
        <v>11785874.9</v>
      </c>
      <c r="J10" s="129">
        <f t="shared" si="12"/>
        <v>17010783.2</v>
      </c>
      <c r="K10" s="129">
        <f t="shared" si="12"/>
        <v>14004388</v>
      </c>
      <c r="L10" s="129">
        <f t="shared" si="12"/>
        <v>14004388</v>
      </c>
      <c r="M10" s="129">
        <f t="shared" si="12"/>
        <v>12921289.149999999</v>
      </c>
      <c r="N10" s="129">
        <f t="shared" si="12"/>
        <v>11720968.35</v>
      </c>
      <c r="O10" s="129">
        <f t="shared" si="12"/>
        <v>11613547.7</v>
      </c>
      <c r="P10" s="129">
        <f t="shared" si="12"/>
        <v>11853123.7</v>
      </c>
      <c r="Q10" s="129">
        <f t="shared" si="12"/>
        <v>12531537.19</v>
      </c>
      <c r="R10" s="129">
        <f t="shared" si="12"/>
        <v>11655225.389999999</v>
      </c>
      <c r="S10" s="133">
        <f t="shared" si="12"/>
        <v>11729515.4</v>
      </c>
      <c r="T10" s="129">
        <f t="shared" si="12"/>
        <v>0</v>
      </c>
      <c r="U10" s="129">
        <f t="shared" si="12"/>
        <v>0</v>
      </c>
      <c r="V10" s="129">
        <f t="shared" si="12"/>
        <v>398427.2</v>
      </c>
      <c r="W10" s="129">
        <f t="shared" si="12"/>
        <v>2.5377070905319723</v>
      </c>
      <c r="X10" s="129">
        <f t="shared" si="12"/>
        <v>771375.737</v>
      </c>
      <c r="Y10" s="129">
        <f t="shared" si="12"/>
        <v>4.534627994083189</v>
      </c>
      <c r="Z10" s="129">
        <f t="shared" si="12"/>
        <v>1031105.4050000001</v>
      </c>
      <c r="AA10" s="129">
        <f t="shared" si="12"/>
        <v>7.362730916909758</v>
      </c>
      <c r="AB10" s="129">
        <f t="shared" si="12"/>
        <v>1379607.345</v>
      </c>
      <c r="AC10" s="129">
        <f t="shared" si="12"/>
        <v>9.851250515195666</v>
      </c>
      <c r="AD10" s="129">
        <f t="shared" si="12"/>
        <v>1611595.9</v>
      </c>
      <c r="AE10" s="134">
        <f t="shared" si="4"/>
        <v>13.876861245422878</v>
      </c>
      <c r="AF10" s="129">
        <f aca="true" t="shared" si="13" ref="AF10:AT10">AF200</f>
        <v>2526538.08</v>
      </c>
      <c r="AG10" s="129">
        <f t="shared" si="13"/>
        <v>21.555711137126313</v>
      </c>
      <c r="AH10" s="129">
        <f t="shared" si="13"/>
        <v>3186525.035</v>
      </c>
      <c r="AI10" s="129">
        <f t="shared" si="13"/>
        <v>27.437998424891305</v>
      </c>
      <c r="AJ10" s="129">
        <f t="shared" si="13"/>
        <v>4379761.545</v>
      </c>
      <c r="AK10" s="129">
        <f t="shared" si="13"/>
        <v>36.95027282133233</v>
      </c>
      <c r="AL10" s="129">
        <f t="shared" si="13"/>
        <v>6102087.545</v>
      </c>
      <c r="AM10" s="129">
        <f t="shared" si="13"/>
        <v>48.69384699164748</v>
      </c>
      <c r="AN10" s="133">
        <f t="shared" si="13"/>
        <v>7394055.6</v>
      </c>
      <c r="AO10" s="129">
        <f t="shared" si="13"/>
        <v>62.73658648794923</v>
      </c>
      <c r="AP10" s="129">
        <f t="shared" si="13"/>
        <v>63.43983365902116</v>
      </c>
      <c r="AQ10" s="133">
        <f t="shared" si="13"/>
        <v>11194861.4</v>
      </c>
      <c r="AR10" s="133">
        <f t="shared" si="13"/>
        <v>94.98540833824734</v>
      </c>
      <c r="AS10" s="133">
        <f t="shared" si="13"/>
        <v>95.44180657284443</v>
      </c>
      <c r="AT10" s="130">
        <f t="shared" si="13"/>
        <v>10864555.7</v>
      </c>
      <c r="AU10" s="129">
        <f t="shared" si="6"/>
        <v>92.18285271295387</v>
      </c>
      <c r="AV10" s="101"/>
      <c r="AW10" s="129">
        <f t="shared" si="7"/>
        <v>2235371.8</v>
      </c>
      <c r="AX10" s="129">
        <f t="shared" si="7"/>
        <v>1970206.7099999997</v>
      </c>
      <c r="AY10" s="129">
        <f t="shared" si="7"/>
        <v>88.13776348077755</v>
      </c>
      <c r="AZ10" s="141"/>
      <c r="BA10" s="103"/>
    </row>
    <row r="11" spans="1:53" s="102" customFormat="1" ht="38.25">
      <c r="A11" s="256"/>
      <c r="B11" s="256"/>
      <c r="C11" s="256"/>
      <c r="D11" s="256"/>
      <c r="E11" s="256"/>
      <c r="F11" s="145" t="s">
        <v>44</v>
      </c>
      <c r="G11" s="129">
        <f aca="true" t="shared" si="14" ref="G11:AD11">G201</f>
        <v>78135548.1</v>
      </c>
      <c r="H11" s="129">
        <f t="shared" si="14"/>
        <v>76141293.1</v>
      </c>
      <c r="I11" s="129">
        <f t="shared" si="14"/>
        <v>54616607.599999994</v>
      </c>
      <c r="J11" s="129">
        <f t="shared" si="14"/>
        <v>70066447.4</v>
      </c>
      <c r="K11" s="129">
        <f t="shared" si="14"/>
        <v>70066507.4</v>
      </c>
      <c r="L11" s="129">
        <f t="shared" si="14"/>
        <v>69811090.4</v>
      </c>
      <c r="M11" s="129">
        <f t="shared" si="14"/>
        <v>69811090.4</v>
      </c>
      <c r="N11" s="129">
        <f t="shared" si="14"/>
        <v>65807090.4</v>
      </c>
      <c r="O11" s="129">
        <f t="shared" si="14"/>
        <v>65807090.4</v>
      </c>
      <c r="P11" s="129">
        <f t="shared" si="14"/>
        <v>65878639.4</v>
      </c>
      <c r="Q11" s="129">
        <f t="shared" si="14"/>
        <v>67461794.8</v>
      </c>
      <c r="R11" s="129">
        <f t="shared" si="14"/>
        <v>67932848.8</v>
      </c>
      <c r="S11" s="133">
        <f t="shared" si="14"/>
        <v>54470266.6</v>
      </c>
      <c r="T11" s="129">
        <f t="shared" si="14"/>
        <v>2791675.2</v>
      </c>
      <c r="U11" s="129">
        <f t="shared" si="14"/>
        <v>3.5728618636259366</v>
      </c>
      <c r="V11" s="129">
        <f t="shared" si="14"/>
        <v>5587566.300000001</v>
      </c>
      <c r="W11" s="129">
        <f t="shared" si="14"/>
        <v>7.338417923453945</v>
      </c>
      <c r="X11" s="129">
        <f t="shared" si="14"/>
        <v>5396388</v>
      </c>
      <c r="Y11" s="129">
        <f t="shared" si="14"/>
        <v>7.701814777610659</v>
      </c>
      <c r="Z11" s="129">
        <f t="shared" si="14"/>
        <v>8767890</v>
      </c>
      <c r="AA11" s="129">
        <f t="shared" si="14"/>
        <v>12.513667835539922</v>
      </c>
      <c r="AB11" s="129">
        <f t="shared" si="14"/>
        <v>10645184.6</v>
      </c>
      <c r="AC11" s="129">
        <f t="shared" si="14"/>
        <v>15.248557985566142</v>
      </c>
      <c r="AD11" s="129">
        <f t="shared" si="14"/>
        <v>15247116.8</v>
      </c>
      <c r="AE11" s="134">
        <f t="shared" si="4"/>
        <v>23.169413367651337</v>
      </c>
      <c r="AF11" s="129">
        <f aca="true" t="shared" si="15" ref="AF11:AT11">AF201</f>
        <v>20655997.898</v>
      </c>
      <c r="AG11" s="129">
        <f t="shared" si="15"/>
        <v>31.388711721556373</v>
      </c>
      <c r="AH11" s="129">
        <f t="shared" si="15"/>
        <v>23171156.148000002</v>
      </c>
      <c r="AI11" s="129">
        <f t="shared" si="15"/>
        <v>35.21072882444291</v>
      </c>
      <c r="AJ11" s="129">
        <f t="shared" si="15"/>
        <v>26433808.369999997</v>
      </c>
      <c r="AK11" s="129">
        <f t="shared" si="15"/>
        <v>40.1250065434715</v>
      </c>
      <c r="AL11" s="129">
        <f t="shared" si="15"/>
        <v>30452272.2</v>
      </c>
      <c r="AM11" s="129">
        <f t="shared" si="15"/>
        <v>45.14002672220633</v>
      </c>
      <c r="AN11" s="133">
        <f t="shared" si="15"/>
        <v>40207906.25</v>
      </c>
      <c r="AO11" s="129">
        <f t="shared" si="15"/>
        <v>73.61846152085067</v>
      </c>
      <c r="AP11" s="129">
        <f t="shared" si="15"/>
        <v>59.18772281783066</v>
      </c>
      <c r="AQ11" s="133">
        <f t="shared" si="15"/>
        <v>52477446.849999994</v>
      </c>
      <c r="AR11" s="133">
        <f t="shared" si="15"/>
        <v>96.08331450084424</v>
      </c>
      <c r="AS11" s="133">
        <f t="shared" si="15"/>
        <v>96.34145401814499</v>
      </c>
      <c r="AT11" s="130">
        <f t="shared" si="15"/>
        <v>67178649.3</v>
      </c>
      <c r="AU11" s="129">
        <f t="shared" si="6"/>
        <v>123.00040638188595</v>
      </c>
      <c r="AV11" s="101"/>
      <c r="AW11" s="129">
        <f t="shared" si="7"/>
        <v>14831548.649999999</v>
      </c>
      <c r="AX11" s="129">
        <f t="shared" si="7"/>
        <v>15345374.35</v>
      </c>
      <c r="AY11" s="129">
        <f t="shared" si="7"/>
        <v>103.46441030620225</v>
      </c>
      <c r="AZ11" s="146"/>
      <c r="BA11" s="103"/>
    </row>
    <row r="12" spans="1:53" s="102" customFormat="1" ht="409.5">
      <c r="A12" s="124" t="s">
        <v>47</v>
      </c>
      <c r="B12" s="123">
        <v>1</v>
      </c>
      <c r="C12" s="147" t="s">
        <v>51</v>
      </c>
      <c r="D12" s="123" t="s">
        <v>196</v>
      </c>
      <c r="E12" s="123" t="s">
        <v>6</v>
      </c>
      <c r="F12" s="148" t="s">
        <v>26</v>
      </c>
      <c r="G12" s="149">
        <f>SUM(G15:G21)-25621404.3</f>
        <v>27559078.100000005</v>
      </c>
      <c r="H12" s="149">
        <f>H15+H16+H18+H19+H21+H17+H20</f>
        <v>64594004.900000006</v>
      </c>
      <c r="I12" s="149">
        <f aca="true" t="shared" si="16" ref="I12:S12">I15+I16+I18+I19+I21</f>
        <v>61790696.7</v>
      </c>
      <c r="J12" s="149">
        <f t="shared" si="16"/>
        <v>65390762.60000001</v>
      </c>
      <c r="K12" s="149">
        <f t="shared" si="16"/>
        <v>65390762.60000001</v>
      </c>
      <c r="L12" s="149">
        <f t="shared" si="16"/>
        <v>65390762.60000001</v>
      </c>
      <c r="M12" s="149">
        <f t="shared" si="16"/>
        <v>66526773.349999994</v>
      </c>
      <c r="N12" s="149">
        <f t="shared" si="16"/>
        <v>66526773.349999994</v>
      </c>
      <c r="O12" s="149">
        <f t="shared" si="16"/>
        <v>66526773.3</v>
      </c>
      <c r="P12" s="149">
        <f t="shared" si="16"/>
        <v>66526773.3</v>
      </c>
      <c r="Q12" s="149">
        <f t="shared" si="16"/>
        <v>66526773.3</v>
      </c>
      <c r="R12" s="149">
        <f t="shared" si="16"/>
        <v>66397262.2</v>
      </c>
      <c r="S12" s="152">
        <f t="shared" si="16"/>
        <v>66044615.31</v>
      </c>
      <c r="T12" s="149">
        <f>T15+T16+T18+T19+T21+T17+T20</f>
        <v>3010521.2</v>
      </c>
      <c r="U12" s="150">
        <f>SUM(T12/G12*100)</f>
        <v>10.92388210184723</v>
      </c>
      <c r="V12" s="149">
        <f>V15+V16+V18+V19+V21+V17+V20</f>
        <v>9195127.2</v>
      </c>
      <c r="W12" s="150">
        <f>IF(H12=0,0,V12*100/H12)</f>
        <v>14.235264115044828</v>
      </c>
      <c r="X12" s="149">
        <f>X15+X16+X18+X19+X21+X17+X20</f>
        <v>12511020.790000001</v>
      </c>
      <c r="Y12" s="150">
        <f>IF(J12=0,0,X12*100/J12)</f>
        <v>19.132703599942413</v>
      </c>
      <c r="Z12" s="149">
        <f>Z15+Z16+Z18+Z19+Z21+Z17+Z20</f>
        <v>16942320.959999997</v>
      </c>
      <c r="AA12" s="150">
        <f>IF(K12=0,0,Z12*100/K12)</f>
        <v>25.90934909818592</v>
      </c>
      <c r="AB12" s="149">
        <f>AB15+AB16+AB18+AB19+AB21+AB17+AB20</f>
        <v>21528077.9</v>
      </c>
      <c r="AC12" s="150">
        <f>IF(L12=0,0,AB12*100/L12)</f>
        <v>32.9222003904264</v>
      </c>
      <c r="AD12" s="149">
        <f>AD15+AD16+AD18+AD19+AD21+AD17+AD20</f>
        <v>26477169</v>
      </c>
      <c r="AE12" s="151">
        <f t="shared" si="4"/>
        <v>39.799268304509816</v>
      </c>
      <c r="AF12" s="149">
        <f>AF15+AF16+AF18+AF19+AF21+AF17+AF20</f>
        <v>31339688.800000004</v>
      </c>
      <c r="AG12" s="150">
        <f>IF(N12=0,0,AF12*100/N12)</f>
        <v>47.10838542419705</v>
      </c>
      <c r="AH12" s="149">
        <f>AH15+AH16+AH18+AH19+AH21+AH17+AH20</f>
        <v>35992814.23</v>
      </c>
      <c r="AI12" s="150">
        <f>IF(O12=0,0,AH12*100/O12)</f>
        <v>54.10275058387658</v>
      </c>
      <c r="AJ12" s="149">
        <f>AJ15+AJ16+AJ18+AJ19+AJ21+AJ17+AJ20</f>
        <v>40655873.400000006</v>
      </c>
      <c r="AK12" s="150">
        <f>IF(P12=0,0,AJ12*100/P12)</f>
        <v>61.11204765134762</v>
      </c>
      <c r="AL12" s="149">
        <f>AL15+AL16+AL18+AL19+AL21+AL17+AL20</f>
        <v>45432623.5</v>
      </c>
      <c r="AM12" s="150">
        <f>IF(Q12=0,0,AL12*100/Q12)</f>
        <v>68.29223971997452</v>
      </c>
      <c r="AN12" s="152">
        <f>AN15+AN16+AN18+AN19+AN21+AN17+AN20</f>
        <v>59657883.80000001</v>
      </c>
      <c r="AO12" s="153">
        <f>AN12/I12*100</f>
        <v>96.54832682927172</v>
      </c>
      <c r="AP12" s="150">
        <f>IF(R12=0,0,AN12*100/R12)</f>
        <v>89.84991522737816</v>
      </c>
      <c r="AQ12" s="152">
        <f>AQ15+AQ16+AQ18+AQ19+AQ21</f>
        <v>61266185.89</v>
      </c>
      <c r="AR12" s="154">
        <f>AQ12/I12*100</f>
        <v>99.15114922146525</v>
      </c>
      <c r="AS12" s="154">
        <f>IF(S12=0,0,AQ12*100/S12)</f>
        <v>92.76484631249492</v>
      </c>
      <c r="AT12" s="149">
        <f>AT15+AT16+AT18+AT19+AT21+AT17+AT20</f>
        <v>60726180.510000005</v>
      </c>
      <c r="AU12" s="129">
        <f t="shared" si="6"/>
        <v>98.27722254829344</v>
      </c>
      <c r="AV12" s="296" t="s">
        <v>210</v>
      </c>
      <c r="AW12" s="149">
        <f>AW15+AW16+AW18+AW19+AW21+AW17+AW20</f>
        <v>5590962.24</v>
      </c>
      <c r="AX12" s="149">
        <f>AX15+AX16+AX18+AX19+AX21+AX17+AX20</f>
        <v>3249853</v>
      </c>
      <c r="AY12" s="153">
        <f>IF(AW12=0,0,AX12*100/AW12)</f>
        <v>58.12689945836586</v>
      </c>
      <c r="AZ12" s="302" t="s">
        <v>231</v>
      </c>
      <c r="BA12" s="103"/>
    </row>
    <row r="13" spans="1:53" s="102" customFormat="1" ht="25.5">
      <c r="A13" s="256"/>
      <c r="B13" s="256"/>
      <c r="C13" s="256"/>
      <c r="D13" s="256"/>
      <c r="E13" s="256"/>
      <c r="F13" s="136" t="s">
        <v>29</v>
      </c>
      <c r="G13" s="137"/>
      <c r="H13" s="137"/>
      <c r="I13" s="137"/>
      <c r="J13" s="137"/>
      <c r="K13" s="137"/>
      <c r="L13" s="137"/>
      <c r="M13" s="137"/>
      <c r="N13" s="137"/>
      <c r="O13" s="137"/>
      <c r="P13" s="137"/>
      <c r="Q13" s="137"/>
      <c r="R13" s="137"/>
      <c r="S13" s="139"/>
      <c r="T13" s="137"/>
      <c r="U13" s="137"/>
      <c r="V13" s="137"/>
      <c r="W13" s="137"/>
      <c r="X13" s="137"/>
      <c r="Y13" s="137"/>
      <c r="Z13" s="137"/>
      <c r="AA13" s="137"/>
      <c r="AB13" s="137"/>
      <c r="AC13" s="137"/>
      <c r="AD13" s="137"/>
      <c r="AE13" s="138"/>
      <c r="AF13" s="137"/>
      <c r="AG13" s="137"/>
      <c r="AH13" s="137"/>
      <c r="AI13" s="137"/>
      <c r="AJ13" s="137"/>
      <c r="AK13" s="137"/>
      <c r="AL13" s="137"/>
      <c r="AM13" s="137"/>
      <c r="AN13" s="139"/>
      <c r="AO13" s="138"/>
      <c r="AP13" s="137"/>
      <c r="AQ13" s="139"/>
      <c r="AR13" s="140"/>
      <c r="AS13" s="139"/>
      <c r="AT13" s="142"/>
      <c r="AU13" s="143"/>
      <c r="AV13" s="101"/>
      <c r="AW13" s="145"/>
      <c r="AX13" s="155"/>
      <c r="AY13" s="153"/>
      <c r="AZ13" s="101"/>
      <c r="BA13" s="103"/>
    </row>
    <row r="14" spans="1:53" s="102" customFormat="1" ht="51">
      <c r="A14" s="256"/>
      <c r="B14" s="256"/>
      <c r="C14" s="256"/>
      <c r="D14" s="256"/>
      <c r="E14" s="256"/>
      <c r="F14" s="156" t="s">
        <v>75</v>
      </c>
      <c r="G14" s="157">
        <v>37034926.8</v>
      </c>
      <c r="H14" s="157">
        <v>25621404.3</v>
      </c>
      <c r="I14" s="157">
        <v>25621404.3</v>
      </c>
      <c r="J14" s="157">
        <v>25621404.3</v>
      </c>
      <c r="K14" s="157">
        <v>25621404.3</v>
      </c>
      <c r="L14" s="157">
        <v>25621404.3</v>
      </c>
      <c r="M14" s="157">
        <v>25621404.3</v>
      </c>
      <c r="N14" s="157">
        <v>25621404.3</v>
      </c>
      <c r="O14" s="157">
        <f>N14</f>
        <v>25621404.3</v>
      </c>
      <c r="P14" s="157">
        <v>25621404.3</v>
      </c>
      <c r="Q14" s="157">
        <v>25621404.3</v>
      </c>
      <c r="R14" s="157">
        <v>25621404.3</v>
      </c>
      <c r="S14" s="158">
        <v>25621404.3</v>
      </c>
      <c r="T14" s="159">
        <v>0</v>
      </c>
      <c r="U14" s="160">
        <f>SUM(T14/G14*100)</f>
        <v>0</v>
      </c>
      <c r="V14" s="161">
        <v>0</v>
      </c>
      <c r="W14" s="160">
        <f>IF(H14=0,0,V14*100/H14)</f>
        <v>0</v>
      </c>
      <c r="X14" s="159">
        <v>6405351.1</v>
      </c>
      <c r="Y14" s="160">
        <f>IF(J14=0,0,X14*100/J14)</f>
        <v>25.000000097574667</v>
      </c>
      <c r="Z14" s="159">
        <v>8540468.1</v>
      </c>
      <c r="AA14" s="160">
        <f>IF(K14=0,0,Z14*100/K14)</f>
        <v>33.333333333333336</v>
      </c>
      <c r="AB14" s="159">
        <v>10556899.2</v>
      </c>
      <c r="AC14" s="160">
        <f>IF(L14=0,0,AB14*100/L14)</f>
        <v>41.20343708092533</v>
      </c>
      <c r="AD14" s="159">
        <v>12668279.2</v>
      </c>
      <c r="AE14" s="160">
        <f>IF(O14=0,0,AD14*100/O14)</f>
        <v>49.44412512158828</v>
      </c>
      <c r="AF14" s="159">
        <v>14779658.9</v>
      </c>
      <c r="AG14" s="160">
        <f>IF(N14=0,0,AF14*100/N14)</f>
        <v>57.68481199135521</v>
      </c>
      <c r="AH14" s="159">
        <v>16891038.9</v>
      </c>
      <c r="AI14" s="160">
        <f>IF(O14=0,0,AH14*100/O14)</f>
        <v>65.92550003201814</v>
      </c>
      <c r="AJ14" s="159">
        <v>19002418.8</v>
      </c>
      <c r="AK14" s="160">
        <f>IF(P14=0,0,AJ14*100/P14)</f>
        <v>74.16618768238241</v>
      </c>
      <c r="AL14" s="159">
        <v>21337189.4</v>
      </c>
      <c r="AM14" s="276">
        <f>IF(Q14=0,0,AL14*100/Q14)</f>
        <v>83.27876626184771</v>
      </c>
      <c r="AN14" s="162">
        <v>23470908.2</v>
      </c>
      <c r="AO14" s="276">
        <f aca="true" t="shared" si="17" ref="AO14:AO21">AN14/I14*100</f>
        <v>91.60664234161435</v>
      </c>
      <c r="AP14" s="285">
        <f aca="true" t="shared" si="18" ref="AP14:AP21">IF(R14=0,0,AN14*100/R14)</f>
        <v>91.60664234161435</v>
      </c>
      <c r="AQ14" s="162">
        <v>25621404.3</v>
      </c>
      <c r="AR14" s="154">
        <f aca="true" t="shared" si="19" ref="AR14:AR22">AQ14/I14*100</f>
        <v>100</v>
      </c>
      <c r="AS14" s="154">
        <f aca="true" t="shared" si="20" ref="AS14:AS22">IF(S14=0,0,AQ14*100/S14)</f>
        <v>100</v>
      </c>
      <c r="AT14" s="164">
        <v>25621404.3</v>
      </c>
      <c r="AU14" s="129">
        <f aca="true" t="shared" si="21" ref="AU14:AU22">AT14*100/I14</f>
        <v>100</v>
      </c>
      <c r="AV14" s="101"/>
      <c r="AW14" s="157">
        <v>0</v>
      </c>
      <c r="AX14" s="157">
        <v>0</v>
      </c>
      <c r="AY14" s="160">
        <f>IF(AW14=0,0,AX14*100/AW14)</f>
        <v>0</v>
      </c>
      <c r="AZ14" s="101"/>
      <c r="BA14" s="103"/>
    </row>
    <row r="15" spans="1:53" s="102" customFormat="1" ht="38.25">
      <c r="A15" s="256"/>
      <c r="B15" s="256"/>
      <c r="C15" s="256"/>
      <c r="D15" s="256"/>
      <c r="E15" s="256"/>
      <c r="F15" s="145" t="s">
        <v>27</v>
      </c>
      <c r="G15" s="129">
        <v>1762857.6</v>
      </c>
      <c r="H15" s="129">
        <v>1762857.6</v>
      </c>
      <c r="I15" s="165">
        <v>1914406.6</v>
      </c>
      <c r="J15" s="165">
        <v>1656762.1</v>
      </c>
      <c r="K15" s="165">
        <v>1656762.1</v>
      </c>
      <c r="L15" s="165">
        <v>1656762.1</v>
      </c>
      <c r="M15" s="165">
        <v>1908917.8</v>
      </c>
      <c r="N15" s="165">
        <v>1908917.8</v>
      </c>
      <c r="O15" s="130">
        <f>N15</f>
        <v>1908917.8</v>
      </c>
      <c r="P15" s="130">
        <f>O15</f>
        <v>1908917.8</v>
      </c>
      <c r="Q15" s="130">
        <f>P15</f>
        <v>1908917.8</v>
      </c>
      <c r="R15" s="165">
        <v>1914406.6</v>
      </c>
      <c r="S15" s="166">
        <v>1943638</v>
      </c>
      <c r="T15" s="165">
        <v>0</v>
      </c>
      <c r="U15" s="164">
        <f>SUM(T15/G15*100)</f>
        <v>0</v>
      </c>
      <c r="V15" s="165">
        <v>0</v>
      </c>
      <c r="W15" s="164">
        <f>IF(H15=0,0,V15*100/H15)</f>
        <v>0</v>
      </c>
      <c r="X15" s="165">
        <v>196697.4</v>
      </c>
      <c r="Y15" s="164">
        <f>IF(J15=0,0,X15*100/J15)</f>
        <v>11.872398577924978</v>
      </c>
      <c r="Z15" s="165">
        <v>209770.7</v>
      </c>
      <c r="AA15" s="164">
        <f>IF(K15=0,0,Z15*100/K15)</f>
        <v>12.661485918829262</v>
      </c>
      <c r="AB15" s="165">
        <v>222410.1</v>
      </c>
      <c r="AC15" s="164">
        <f>IF(L15=0,0,AB15*100/L15)</f>
        <v>13.424383621522969</v>
      </c>
      <c r="AD15" s="165">
        <v>403244.9</v>
      </c>
      <c r="AE15" s="164">
        <f>IF(O15=0,0,AD15*100/O15)</f>
        <v>21.124267372853875</v>
      </c>
      <c r="AF15" s="165">
        <v>457218.5</v>
      </c>
      <c r="AG15" s="164">
        <f>IF(N15=0,0,AF15*100/N15)</f>
        <v>23.9517123262196</v>
      </c>
      <c r="AH15" s="165">
        <v>664583.14</v>
      </c>
      <c r="AI15" s="164">
        <f>IF(O15=0,0,AH15*100/O15)</f>
        <v>34.81465466978201</v>
      </c>
      <c r="AJ15" s="165">
        <v>864873.8</v>
      </c>
      <c r="AK15" s="164">
        <f>IF(P15=0,0,AJ15*100/P15)</f>
        <v>45.307021601453975</v>
      </c>
      <c r="AL15" s="165">
        <v>902399.4</v>
      </c>
      <c r="AM15" s="153">
        <f>IF(Q15=0,0,AL15*100/Q15)</f>
        <v>47.272826519821855</v>
      </c>
      <c r="AN15" s="166">
        <v>1818903.7</v>
      </c>
      <c r="AO15" s="153">
        <f t="shared" si="17"/>
        <v>95.01135756636025</v>
      </c>
      <c r="AP15" s="134">
        <f t="shared" si="18"/>
        <v>95.01135756636025</v>
      </c>
      <c r="AQ15" s="166">
        <v>1818903.7</v>
      </c>
      <c r="AR15" s="154">
        <f t="shared" si="19"/>
        <v>95.01135756636025</v>
      </c>
      <c r="AS15" s="154">
        <f t="shared" si="20"/>
        <v>93.58243150216244</v>
      </c>
      <c r="AT15" s="168">
        <v>1878709.98</v>
      </c>
      <c r="AU15" s="129">
        <f t="shared" si="21"/>
        <v>98.1353689440895</v>
      </c>
      <c r="AV15" s="101"/>
      <c r="AW15" s="155">
        <v>926604.8</v>
      </c>
      <c r="AX15" s="155">
        <v>836987.1</v>
      </c>
      <c r="AY15" s="164">
        <f>IF(AW15=0,0,AX15*100/AW15)</f>
        <v>90.32837947742122</v>
      </c>
      <c r="AZ15" s="101"/>
      <c r="BA15" s="103"/>
    </row>
    <row r="16" spans="1:53" s="102" customFormat="1" ht="51">
      <c r="A16" s="256"/>
      <c r="B16" s="256"/>
      <c r="C16" s="256"/>
      <c r="D16" s="256"/>
      <c r="E16" s="256"/>
      <c r="F16" s="145" t="s">
        <v>30</v>
      </c>
      <c r="G16" s="129">
        <v>49652255</v>
      </c>
      <c r="H16" s="129">
        <v>49652255</v>
      </c>
      <c r="I16" s="165">
        <v>45447207.8</v>
      </c>
      <c r="J16" s="165">
        <v>49680895</v>
      </c>
      <c r="K16" s="165">
        <v>49680895</v>
      </c>
      <c r="L16" s="165">
        <v>49680895</v>
      </c>
      <c r="M16" s="165">
        <v>49671895</v>
      </c>
      <c r="N16" s="165">
        <v>49671895</v>
      </c>
      <c r="O16" s="130">
        <f>N16</f>
        <v>49671895</v>
      </c>
      <c r="P16" s="130">
        <f>O16</f>
        <v>49671895</v>
      </c>
      <c r="Q16" s="130">
        <f>P16</f>
        <v>49671895</v>
      </c>
      <c r="R16" s="165">
        <v>49671895</v>
      </c>
      <c r="S16" s="166">
        <v>49671895</v>
      </c>
      <c r="T16" s="165">
        <v>2356425</v>
      </c>
      <c r="U16" s="164">
        <f>SUM(T16/G16*100)</f>
        <v>4.745856960575104</v>
      </c>
      <c r="V16" s="169">
        <v>5840513.2</v>
      </c>
      <c r="W16" s="164">
        <f>IF(H16=0,0,V16*100/H16)</f>
        <v>11.762835746332165</v>
      </c>
      <c r="X16" s="165">
        <v>9427556.5</v>
      </c>
      <c r="Y16" s="164">
        <f>IF(J16=0,0,X16*100/J16)</f>
        <v>18.976221140943615</v>
      </c>
      <c r="Z16" s="165">
        <v>12799326.6</v>
      </c>
      <c r="AA16" s="164">
        <f>IF(K16=0,0,Z16*100/K16)</f>
        <v>25.763075725588276</v>
      </c>
      <c r="AB16" s="165">
        <v>16327241.3</v>
      </c>
      <c r="AC16" s="164">
        <f>IF(L16=0,0,AB16*100/L16)</f>
        <v>32.864225372751434</v>
      </c>
      <c r="AD16" s="165">
        <v>20101887.5</v>
      </c>
      <c r="AE16" s="164">
        <f>IF(O16=0,0,AD16*100/O16)</f>
        <v>40.46933884845746</v>
      </c>
      <c r="AF16" s="165">
        <v>23642553.8</v>
      </c>
      <c r="AG16" s="164">
        <f>IF(N16=0,0,AF16*100/N16)</f>
        <v>47.597446805683575</v>
      </c>
      <c r="AH16" s="165">
        <v>27072009.5</v>
      </c>
      <c r="AI16" s="164">
        <f>IF(O16=0,0,AH16*100/O16)</f>
        <v>54.50166437177402</v>
      </c>
      <c r="AJ16" s="165">
        <v>30458183.3</v>
      </c>
      <c r="AK16" s="164">
        <f>IF(P16=0,0,AJ16*100/P16)</f>
        <v>61.3187463453931</v>
      </c>
      <c r="AL16" s="165">
        <v>34193391.6</v>
      </c>
      <c r="AM16" s="153">
        <f>IF(Q16=0,0,AL16*100/Q16)</f>
        <v>68.83850837581292</v>
      </c>
      <c r="AN16" s="166">
        <v>45117924.4</v>
      </c>
      <c r="AO16" s="153">
        <f t="shared" si="17"/>
        <v>99.27545955859581</v>
      </c>
      <c r="AP16" s="153">
        <f t="shared" si="18"/>
        <v>90.83189678992517</v>
      </c>
      <c r="AQ16" s="166">
        <v>45117924.4</v>
      </c>
      <c r="AR16" s="154">
        <f t="shared" si="19"/>
        <v>99.27545955859581</v>
      </c>
      <c r="AS16" s="154">
        <f t="shared" si="20"/>
        <v>90.83189678992517</v>
      </c>
      <c r="AT16" s="164">
        <f>44526852.13-23500-69074.6</f>
        <v>44434277.53</v>
      </c>
      <c r="AU16" s="129">
        <f t="shared" si="21"/>
        <v>97.7711936133511</v>
      </c>
      <c r="AV16" s="101"/>
      <c r="AW16" s="155">
        <v>3443555.63</v>
      </c>
      <c r="AX16" s="155">
        <v>1495059.3</v>
      </c>
      <c r="AY16" s="164">
        <f>IF(AW16=0,0,AX16*100/AW16)</f>
        <v>43.41615064891518</v>
      </c>
      <c r="AZ16" s="101"/>
      <c r="BA16" s="103"/>
    </row>
    <row r="17" spans="1:53" s="177" customFormat="1" ht="204">
      <c r="A17" s="271"/>
      <c r="B17" s="271"/>
      <c r="C17" s="271"/>
      <c r="D17" s="271"/>
      <c r="E17" s="271"/>
      <c r="F17" s="178" t="s">
        <v>195</v>
      </c>
      <c r="G17" s="170"/>
      <c r="H17" s="170"/>
      <c r="I17" s="171">
        <v>40000</v>
      </c>
      <c r="J17" s="171"/>
      <c r="K17" s="171"/>
      <c r="L17" s="171"/>
      <c r="M17" s="171"/>
      <c r="N17" s="171"/>
      <c r="O17" s="171"/>
      <c r="P17" s="171"/>
      <c r="Q17" s="171">
        <v>0</v>
      </c>
      <c r="R17" s="171">
        <v>40000</v>
      </c>
      <c r="S17" s="224">
        <v>40000</v>
      </c>
      <c r="T17" s="172"/>
      <c r="U17" s="173"/>
      <c r="V17" s="174"/>
      <c r="W17" s="173"/>
      <c r="X17" s="172"/>
      <c r="Y17" s="173"/>
      <c r="Z17" s="172"/>
      <c r="AA17" s="173"/>
      <c r="AB17" s="172"/>
      <c r="AC17" s="173"/>
      <c r="AD17" s="172"/>
      <c r="AE17" s="173"/>
      <c r="AF17" s="172"/>
      <c r="AG17" s="173"/>
      <c r="AH17" s="172"/>
      <c r="AI17" s="173"/>
      <c r="AJ17" s="172"/>
      <c r="AK17" s="173"/>
      <c r="AL17" s="172">
        <v>0</v>
      </c>
      <c r="AM17" s="277">
        <v>0</v>
      </c>
      <c r="AN17" s="166">
        <v>40000</v>
      </c>
      <c r="AO17" s="277">
        <f t="shared" si="17"/>
        <v>100</v>
      </c>
      <c r="AP17" s="278">
        <f t="shared" si="18"/>
        <v>100</v>
      </c>
      <c r="AQ17" s="166">
        <v>40000</v>
      </c>
      <c r="AR17" s="154">
        <f t="shared" si="19"/>
        <v>100</v>
      </c>
      <c r="AS17" s="154">
        <f t="shared" si="20"/>
        <v>100</v>
      </c>
      <c r="AT17" s="173">
        <v>40000</v>
      </c>
      <c r="AU17" s="291">
        <f t="shared" si="21"/>
        <v>100</v>
      </c>
      <c r="AV17" s="297"/>
      <c r="AW17" s="171">
        <v>0</v>
      </c>
      <c r="AX17" s="171">
        <v>0</v>
      </c>
      <c r="AY17" s="173">
        <v>0</v>
      </c>
      <c r="AZ17" s="297"/>
      <c r="BA17" s="176"/>
    </row>
    <row r="18" spans="1:53" s="102" customFormat="1" ht="63.75">
      <c r="A18" s="256"/>
      <c r="B18" s="256"/>
      <c r="C18" s="256"/>
      <c r="D18" s="256"/>
      <c r="E18" s="256"/>
      <c r="F18" s="145" t="s">
        <v>38</v>
      </c>
      <c r="G18" s="179">
        <v>71495.6</v>
      </c>
      <c r="H18" s="179">
        <v>71495.6</v>
      </c>
      <c r="I18" s="166">
        <v>296278</v>
      </c>
      <c r="J18" s="166">
        <v>296278</v>
      </c>
      <c r="K18" s="166">
        <v>296278</v>
      </c>
      <c r="L18" s="166">
        <v>296278</v>
      </c>
      <c r="M18" s="166">
        <v>296278</v>
      </c>
      <c r="N18" s="166">
        <v>296278</v>
      </c>
      <c r="O18" s="166">
        <v>296278</v>
      </c>
      <c r="P18" s="166">
        <v>296278</v>
      </c>
      <c r="Q18" s="166">
        <v>296278</v>
      </c>
      <c r="R18" s="166">
        <v>296278</v>
      </c>
      <c r="S18" s="166">
        <v>296278</v>
      </c>
      <c r="T18" s="165">
        <v>0</v>
      </c>
      <c r="U18" s="164">
        <f>SUM(T18/G18*100)</f>
        <v>0</v>
      </c>
      <c r="V18" s="155">
        <v>2728</v>
      </c>
      <c r="W18" s="167">
        <f>IF(H18=0,0,V18*100/H18)</f>
        <v>3.8156194227337066</v>
      </c>
      <c r="X18" s="165">
        <v>7266.4</v>
      </c>
      <c r="Y18" s="167">
        <f>IF(J18=0,0,X18*100/J18)</f>
        <v>2.45256144566927</v>
      </c>
      <c r="Z18" s="165">
        <v>7523.7</v>
      </c>
      <c r="AA18" s="167">
        <f>IF(K18=0,0,Z18*100/K18)</f>
        <v>2.5394055582932245</v>
      </c>
      <c r="AB18" s="165">
        <v>36080.3</v>
      </c>
      <c r="AC18" s="167">
        <f>IF(L18=0,0,AB18*100/L18)</f>
        <v>12.177853232437105</v>
      </c>
      <c r="AD18" s="165">
        <v>36430.5</v>
      </c>
      <c r="AE18" s="167">
        <f>IF(O18=0,0,AD18*100/O18)</f>
        <v>12.296053031274681</v>
      </c>
      <c r="AF18" s="165">
        <v>52398.1</v>
      </c>
      <c r="AG18" s="167">
        <f>IF(N18=0,0,AF18*100/N18)</f>
        <v>17.685450826588543</v>
      </c>
      <c r="AH18" s="165">
        <v>60584.69999999999</v>
      </c>
      <c r="AI18" s="167">
        <f>IF(O18=0,0,AH18*100/O18)</f>
        <v>20.44859895098522</v>
      </c>
      <c r="AJ18" s="165">
        <v>60821.1</v>
      </c>
      <c r="AK18" s="167">
        <f>IF(P18=0,0,AJ18*100/P18)</f>
        <v>20.528388878013217</v>
      </c>
      <c r="AL18" s="165">
        <v>61448.29999999999</v>
      </c>
      <c r="AM18" s="134">
        <f>IF(Q18=0,0,AL18*100/Q18)</f>
        <v>20.740081950060414</v>
      </c>
      <c r="AN18" s="166">
        <v>278044.2</v>
      </c>
      <c r="AO18" s="153">
        <f t="shared" si="17"/>
        <v>93.84571247274519</v>
      </c>
      <c r="AP18" s="134">
        <f t="shared" si="18"/>
        <v>93.84571247274519</v>
      </c>
      <c r="AQ18" s="166">
        <v>278044.2</v>
      </c>
      <c r="AR18" s="154">
        <f t="shared" si="19"/>
        <v>93.84571247274519</v>
      </c>
      <c r="AS18" s="154">
        <f t="shared" si="20"/>
        <v>93.84571247274519</v>
      </c>
      <c r="AT18" s="164">
        <v>88847.7</v>
      </c>
      <c r="AU18" s="129">
        <f t="shared" si="21"/>
        <v>29.987950505943743</v>
      </c>
      <c r="AV18" s="101"/>
      <c r="AW18" s="155">
        <v>226252.7</v>
      </c>
      <c r="AX18" s="155">
        <v>27141</v>
      </c>
      <c r="AY18" s="164">
        <f>IF(AW18=0,0,AX18*100/AW18)</f>
        <v>11.995878944207075</v>
      </c>
      <c r="AZ18" s="101"/>
      <c r="BA18" s="103"/>
    </row>
    <row r="19" spans="1:53" s="102" customFormat="1" ht="51">
      <c r="A19" s="256"/>
      <c r="B19" s="256"/>
      <c r="C19" s="256"/>
      <c r="D19" s="256"/>
      <c r="E19" s="256"/>
      <c r="F19" s="145" t="s">
        <v>23</v>
      </c>
      <c r="G19" s="179">
        <v>1693874.2</v>
      </c>
      <c r="H19" s="179">
        <v>1693874.2</v>
      </c>
      <c r="I19" s="180">
        <v>2069851</v>
      </c>
      <c r="J19" s="180">
        <v>1693874.2</v>
      </c>
      <c r="K19" s="180">
        <v>1693874.2</v>
      </c>
      <c r="L19" s="180">
        <v>1693874.2</v>
      </c>
      <c r="M19" s="180">
        <v>2586729.25</v>
      </c>
      <c r="N19" s="180">
        <v>2586729.25</v>
      </c>
      <c r="O19" s="180">
        <v>2586729.2</v>
      </c>
      <c r="P19" s="180">
        <v>2586729.2</v>
      </c>
      <c r="Q19" s="180">
        <v>2586729.2</v>
      </c>
      <c r="R19" s="165">
        <v>2451729.3</v>
      </c>
      <c r="S19" s="166">
        <v>2069851.01</v>
      </c>
      <c r="T19" s="165">
        <v>0</v>
      </c>
      <c r="U19" s="164">
        <f>SUM(T19/G19*100)</f>
        <v>0</v>
      </c>
      <c r="V19" s="169">
        <v>8369.8</v>
      </c>
      <c r="W19" s="167">
        <f>IF(H19=0,0,V19*100/H19)</f>
        <v>0.49412170041907477</v>
      </c>
      <c r="X19" s="165">
        <v>26119.89</v>
      </c>
      <c r="Y19" s="167">
        <f>IF(J19=0,0,X19*100/J19)</f>
        <v>1.5420206530095328</v>
      </c>
      <c r="Z19" s="165">
        <v>120442.36000000002</v>
      </c>
      <c r="AA19" s="167">
        <f>IF(K19=0,0,Z19*100/K19)</f>
        <v>7.110466645043653</v>
      </c>
      <c r="AB19" s="165">
        <v>182961.6</v>
      </c>
      <c r="AC19" s="167">
        <f>IF(L19=0,0,AB19*100/L19)</f>
        <v>10.801368838370642</v>
      </c>
      <c r="AD19" s="165">
        <v>224344.5</v>
      </c>
      <c r="AE19" s="167">
        <f>IF(O19=0,0,AD19*100/O19)</f>
        <v>8.6729024437502</v>
      </c>
      <c r="AF19" s="165">
        <v>524379.8</v>
      </c>
      <c r="AG19" s="167">
        <f>IF(N19=0,0,AF19*100/N19)</f>
        <v>20.271924477600432</v>
      </c>
      <c r="AH19" s="165">
        <v>580621.29</v>
      </c>
      <c r="AI19" s="167">
        <f>IF(O19=0,0,AH19*100/O19)</f>
        <v>22.44615671404645</v>
      </c>
      <c r="AJ19" s="165">
        <v>705102.6</v>
      </c>
      <c r="AK19" s="167">
        <f>IF(P19=0,0,AJ19*100/P19)</f>
        <v>27.258462153672674</v>
      </c>
      <c r="AL19" s="165">
        <v>756614.6</v>
      </c>
      <c r="AM19" s="134">
        <f>IF(Q19=0,0,AL19*100/Q19)</f>
        <v>29.249857310150592</v>
      </c>
      <c r="AN19" s="166">
        <v>1160923.7</v>
      </c>
      <c r="AO19" s="153">
        <f t="shared" si="17"/>
        <v>56.087307733745085</v>
      </c>
      <c r="AP19" s="134">
        <f t="shared" si="18"/>
        <v>47.35121858681544</v>
      </c>
      <c r="AQ19" s="166">
        <v>1988360.29</v>
      </c>
      <c r="AR19" s="154">
        <f t="shared" si="19"/>
        <v>96.06296733436368</v>
      </c>
      <c r="AS19" s="154">
        <f t="shared" si="20"/>
        <v>96.06296687025797</v>
      </c>
      <c r="AT19" s="164">
        <v>2021392</v>
      </c>
      <c r="AU19" s="129">
        <f t="shared" si="21"/>
        <v>97.65881698730972</v>
      </c>
      <c r="AV19" s="101"/>
      <c r="AW19" s="155">
        <v>994549.11</v>
      </c>
      <c r="AX19" s="155">
        <v>890665.6</v>
      </c>
      <c r="AY19" s="164">
        <f>IF(AW19=0,0,AX19*100/AW19)</f>
        <v>89.55471288893919</v>
      </c>
      <c r="AZ19" s="101"/>
      <c r="BA19" s="103"/>
    </row>
    <row r="20" spans="1:53" s="177" customFormat="1" ht="204">
      <c r="A20" s="271"/>
      <c r="B20" s="271"/>
      <c r="C20" s="271"/>
      <c r="D20" s="271"/>
      <c r="E20" s="271"/>
      <c r="F20" s="178" t="s">
        <v>195</v>
      </c>
      <c r="G20" s="181"/>
      <c r="H20" s="181"/>
      <c r="I20" s="182">
        <v>200000</v>
      </c>
      <c r="J20" s="182"/>
      <c r="K20" s="182"/>
      <c r="L20" s="182"/>
      <c r="M20" s="182"/>
      <c r="N20" s="182"/>
      <c r="O20" s="182"/>
      <c r="P20" s="182"/>
      <c r="Q20" s="182">
        <v>0</v>
      </c>
      <c r="R20" s="172">
        <v>200000</v>
      </c>
      <c r="S20" s="166">
        <v>200670</v>
      </c>
      <c r="T20" s="172"/>
      <c r="U20" s="173"/>
      <c r="V20" s="183"/>
      <c r="W20" s="175"/>
      <c r="X20" s="172"/>
      <c r="Y20" s="175"/>
      <c r="Z20" s="172"/>
      <c r="AA20" s="175"/>
      <c r="AB20" s="172"/>
      <c r="AC20" s="175"/>
      <c r="AD20" s="172"/>
      <c r="AE20" s="175"/>
      <c r="AF20" s="172"/>
      <c r="AG20" s="175"/>
      <c r="AH20" s="172"/>
      <c r="AI20" s="175"/>
      <c r="AJ20" s="172"/>
      <c r="AK20" s="175"/>
      <c r="AL20" s="172">
        <v>0</v>
      </c>
      <c r="AM20" s="278">
        <v>0</v>
      </c>
      <c r="AN20" s="166">
        <v>194464.5</v>
      </c>
      <c r="AO20" s="277">
        <f t="shared" si="17"/>
        <v>97.23225</v>
      </c>
      <c r="AP20" s="278">
        <f t="shared" si="18"/>
        <v>97.23225</v>
      </c>
      <c r="AQ20" s="166">
        <v>200670</v>
      </c>
      <c r="AR20" s="154">
        <f t="shared" si="19"/>
        <v>100.335</v>
      </c>
      <c r="AS20" s="154">
        <f t="shared" si="20"/>
        <v>100</v>
      </c>
      <c r="AT20" s="173">
        <v>200000</v>
      </c>
      <c r="AU20" s="291">
        <f t="shared" si="21"/>
        <v>100</v>
      </c>
      <c r="AV20" s="297"/>
      <c r="AW20" s="183">
        <v>0</v>
      </c>
      <c r="AX20" s="183">
        <v>0</v>
      </c>
      <c r="AY20" s="173">
        <v>0</v>
      </c>
      <c r="AZ20" s="297"/>
      <c r="BA20" s="176"/>
    </row>
    <row r="21" spans="1:54" s="102" customFormat="1" ht="51">
      <c r="A21" s="256"/>
      <c r="B21" s="256"/>
      <c r="C21" s="256"/>
      <c r="D21" s="256"/>
      <c r="E21" s="256"/>
      <c r="F21" s="145" t="s">
        <v>75</v>
      </c>
      <c r="G21" s="157">
        <v>0</v>
      </c>
      <c r="H21" s="157">
        <v>11413522.499999996</v>
      </c>
      <c r="I21" s="130">
        <v>12062953.3</v>
      </c>
      <c r="J21" s="130">
        <v>12062953.3</v>
      </c>
      <c r="K21" s="130">
        <v>12062953.3</v>
      </c>
      <c r="L21" s="130">
        <v>12062953.3</v>
      </c>
      <c r="M21" s="130">
        <v>12062953.3</v>
      </c>
      <c r="N21" s="130">
        <v>12062953.3</v>
      </c>
      <c r="O21" s="130">
        <v>12062953.3</v>
      </c>
      <c r="P21" s="130">
        <v>12062953.3</v>
      </c>
      <c r="Q21" s="130">
        <v>12062953.3</v>
      </c>
      <c r="R21" s="130">
        <v>12062953.3</v>
      </c>
      <c r="S21" s="224">
        <v>12062953.3</v>
      </c>
      <c r="T21" s="130">
        <v>654096.2</v>
      </c>
      <c r="U21" s="164">
        <f>T21*100/S21</f>
        <v>5.422355402801733</v>
      </c>
      <c r="V21" s="130">
        <v>3343516.2</v>
      </c>
      <c r="W21" s="164">
        <f>IF(H21=0,0,V21*100/H21)</f>
        <v>29.294340988945358</v>
      </c>
      <c r="X21" s="165">
        <v>2853380.6</v>
      </c>
      <c r="Y21" s="164">
        <f>IF(J21=0,0,X21*100/J21)</f>
        <v>23.65407980150267</v>
      </c>
      <c r="Z21" s="165">
        <v>3805257.6</v>
      </c>
      <c r="AA21" s="164">
        <f>IF(K21=0,0,Z21*100/K21)</f>
        <v>31.54499155691832</v>
      </c>
      <c r="AB21" s="165">
        <v>4759384.6</v>
      </c>
      <c r="AC21" s="164">
        <f>IF(L21=0,0,AB21*100/L21)</f>
        <v>39.45455546114067</v>
      </c>
      <c r="AD21" s="165">
        <v>5711261.6</v>
      </c>
      <c r="AE21" s="164">
        <f>IF(O21=0,0,AD21*100/O21)</f>
        <v>47.34546721655633</v>
      </c>
      <c r="AF21" s="165">
        <v>6663138.6</v>
      </c>
      <c r="AG21" s="164">
        <f>IF(N21=0,0,AF21*100/N21)</f>
        <v>55.23637897197197</v>
      </c>
      <c r="AH21" s="165">
        <v>7615015.6</v>
      </c>
      <c r="AI21" s="164">
        <f>IF(O21=0,0,AH21*100/O21)</f>
        <v>63.127290727387624</v>
      </c>
      <c r="AJ21" s="165">
        <v>8566892.6</v>
      </c>
      <c r="AK21" s="164">
        <f>IF(P21=0,0,AJ21*100/P21)</f>
        <v>71.01820248280328</v>
      </c>
      <c r="AL21" s="165">
        <v>9518769.6</v>
      </c>
      <c r="AM21" s="153">
        <f>IF(Q21=0,0,AL21*100/Q21)</f>
        <v>78.90911423821892</v>
      </c>
      <c r="AN21" s="166">
        <v>11047623.3</v>
      </c>
      <c r="AO21" s="153">
        <f t="shared" si="17"/>
        <v>91.58307277870337</v>
      </c>
      <c r="AP21" s="153">
        <f t="shared" si="18"/>
        <v>91.58307277870337</v>
      </c>
      <c r="AQ21" s="162">
        <v>12062953.3</v>
      </c>
      <c r="AR21" s="154">
        <f t="shared" si="19"/>
        <v>100</v>
      </c>
      <c r="AS21" s="154">
        <f t="shared" si="20"/>
        <v>100</v>
      </c>
      <c r="AT21" s="164">
        <v>12062953.3</v>
      </c>
      <c r="AU21" s="129">
        <f t="shared" si="21"/>
        <v>100</v>
      </c>
      <c r="AV21" s="101"/>
      <c r="AW21" s="130">
        <v>0</v>
      </c>
      <c r="AX21" s="130">
        <v>0</v>
      </c>
      <c r="AY21" s="164">
        <f>IF(AW21=0,0,AX21*100/AW21)</f>
        <v>0</v>
      </c>
      <c r="AZ21" s="101"/>
      <c r="BA21" s="103"/>
      <c r="BB21" s="184">
        <v>37684357.6</v>
      </c>
    </row>
    <row r="22" spans="1:54" s="185" customFormat="1" ht="409.5">
      <c r="A22" s="124" t="s">
        <v>47</v>
      </c>
      <c r="B22" s="124">
        <v>2</v>
      </c>
      <c r="C22" s="145" t="s">
        <v>52</v>
      </c>
      <c r="D22" s="124" t="s">
        <v>200</v>
      </c>
      <c r="E22" s="124" t="s">
        <v>32</v>
      </c>
      <c r="F22" s="128" t="s">
        <v>26</v>
      </c>
      <c r="G22" s="149">
        <f aca="true" t="shared" si="22" ref="G22:AQ22">G24+G25+G26+G27+G28</f>
        <v>57749912.91</v>
      </c>
      <c r="H22" s="149">
        <f t="shared" si="22"/>
        <v>60995286.2</v>
      </c>
      <c r="I22" s="149">
        <f t="shared" si="22"/>
        <v>56693024.4</v>
      </c>
      <c r="J22" s="149">
        <f t="shared" si="22"/>
        <v>62938945.7</v>
      </c>
      <c r="K22" s="149">
        <f t="shared" si="22"/>
        <v>60015092.1</v>
      </c>
      <c r="L22" s="149">
        <f t="shared" si="22"/>
        <v>60015092.1</v>
      </c>
      <c r="M22" s="149">
        <f t="shared" si="22"/>
        <v>60015092.1</v>
      </c>
      <c r="N22" s="149">
        <f t="shared" si="22"/>
        <v>58512930</v>
      </c>
      <c r="O22" s="149">
        <f t="shared" si="22"/>
        <v>59105636.2</v>
      </c>
      <c r="P22" s="149">
        <f t="shared" si="22"/>
        <v>59105636.2</v>
      </c>
      <c r="Q22" s="149">
        <f t="shared" si="22"/>
        <v>59105636.2</v>
      </c>
      <c r="R22" s="149">
        <f t="shared" si="22"/>
        <v>58483540</v>
      </c>
      <c r="S22" s="152">
        <f t="shared" si="22"/>
        <v>58436251.7</v>
      </c>
      <c r="T22" s="149">
        <f t="shared" si="22"/>
        <v>2192842.4</v>
      </c>
      <c r="U22" s="149">
        <f t="shared" si="22"/>
        <v>4.403138665544672</v>
      </c>
      <c r="V22" s="149">
        <f t="shared" si="22"/>
        <v>5468213.9</v>
      </c>
      <c r="W22" s="149">
        <f t="shared" si="22"/>
        <v>11.872844828798554</v>
      </c>
      <c r="X22" s="149">
        <f t="shared" si="22"/>
        <v>8626983.200000001</v>
      </c>
      <c r="Y22" s="149">
        <f t="shared" si="22"/>
        <v>21.195646227700294</v>
      </c>
      <c r="Z22" s="149">
        <f t="shared" si="22"/>
        <v>12281963.3</v>
      </c>
      <c r="AA22" s="149">
        <f t="shared" si="22"/>
        <v>33.86579079312498</v>
      </c>
      <c r="AB22" s="149">
        <f t="shared" si="22"/>
        <v>18265253.9</v>
      </c>
      <c r="AC22" s="149">
        <f t="shared" si="22"/>
        <v>48.654942646591124</v>
      </c>
      <c r="AD22" s="149">
        <f t="shared" si="22"/>
        <v>23754282.973189004</v>
      </c>
      <c r="AE22" s="149">
        <f t="shared" si="22"/>
        <v>75.00955744511667</v>
      </c>
      <c r="AF22" s="149">
        <f t="shared" si="22"/>
        <v>26808080.9</v>
      </c>
      <c r="AG22" s="149">
        <f t="shared" si="22"/>
        <v>93.26677379598014</v>
      </c>
      <c r="AH22" s="149">
        <f t="shared" si="22"/>
        <v>28984187.000000004</v>
      </c>
      <c r="AI22" s="149">
        <f t="shared" si="22"/>
        <v>132.73500080520907</v>
      </c>
      <c r="AJ22" s="149">
        <f t="shared" si="22"/>
        <v>32124226.599999998</v>
      </c>
      <c r="AK22" s="149">
        <f t="shared" si="22"/>
        <v>148.79425417396882</v>
      </c>
      <c r="AL22" s="149">
        <f t="shared" si="22"/>
        <v>37475592.1</v>
      </c>
      <c r="AM22" s="149">
        <f t="shared" si="22"/>
        <v>197.6592413283543</v>
      </c>
      <c r="AN22" s="152">
        <f t="shared" si="22"/>
        <v>41804798.74999999</v>
      </c>
      <c r="AO22" s="149">
        <f t="shared" si="22"/>
        <v>261.50062286122096</v>
      </c>
      <c r="AP22" s="149">
        <f t="shared" si="22"/>
        <v>257.387267225247</v>
      </c>
      <c r="AQ22" s="152">
        <f t="shared" si="22"/>
        <v>55864339.27704</v>
      </c>
      <c r="AR22" s="154">
        <f t="shared" si="19"/>
        <v>98.53829438148655</v>
      </c>
      <c r="AS22" s="154">
        <f t="shared" si="20"/>
        <v>95.59877242612396</v>
      </c>
      <c r="AT22" s="190">
        <f>AT24+AT25+AT26+AT27+AT28</f>
        <v>56503339.57</v>
      </c>
      <c r="AU22" s="129">
        <f t="shared" si="21"/>
        <v>99.66541769114015</v>
      </c>
      <c r="AV22" s="213" t="s">
        <v>152</v>
      </c>
      <c r="AW22" s="191">
        <f>AW24+AW25+AW26+AW27+AW28</f>
        <v>16633814.789999992</v>
      </c>
      <c r="AX22" s="191">
        <f>AX24+AX25+AX26+AX27+AX28</f>
        <v>14061902.35704</v>
      </c>
      <c r="AY22" s="151">
        <f>IF(AW22=0,0,AX22*100/AW22)</f>
        <v>84.53804815413606</v>
      </c>
      <c r="AZ22" s="302"/>
      <c r="BA22" s="103"/>
      <c r="BB22" s="184">
        <f>BB21-S14</f>
        <v>12062953.3</v>
      </c>
    </row>
    <row r="23" spans="1:54" s="185" customFormat="1" ht="25.5">
      <c r="A23" s="256"/>
      <c r="B23" s="256"/>
      <c r="C23" s="256"/>
      <c r="D23" s="256"/>
      <c r="E23" s="256"/>
      <c r="F23" s="136" t="s">
        <v>29</v>
      </c>
      <c r="G23" s="137"/>
      <c r="H23" s="137"/>
      <c r="I23" s="137"/>
      <c r="J23" s="137"/>
      <c r="K23" s="137"/>
      <c r="L23" s="137"/>
      <c r="M23" s="137"/>
      <c r="N23" s="137"/>
      <c r="O23" s="137"/>
      <c r="P23" s="137"/>
      <c r="Q23" s="137"/>
      <c r="R23" s="137"/>
      <c r="S23" s="139"/>
      <c r="T23" s="137"/>
      <c r="U23" s="137"/>
      <c r="V23" s="137"/>
      <c r="W23" s="137"/>
      <c r="X23" s="137"/>
      <c r="Y23" s="137"/>
      <c r="Z23" s="137"/>
      <c r="AA23" s="137"/>
      <c r="AB23" s="137"/>
      <c r="AC23" s="137"/>
      <c r="AD23" s="137"/>
      <c r="AE23" s="138"/>
      <c r="AF23" s="137"/>
      <c r="AG23" s="137"/>
      <c r="AH23" s="137"/>
      <c r="AI23" s="137"/>
      <c r="AJ23" s="137"/>
      <c r="AK23" s="137"/>
      <c r="AL23" s="137"/>
      <c r="AM23" s="137"/>
      <c r="AN23" s="139"/>
      <c r="AO23" s="138"/>
      <c r="AP23" s="137"/>
      <c r="AQ23" s="139"/>
      <c r="AR23" s="140"/>
      <c r="AS23" s="139"/>
      <c r="AT23" s="142"/>
      <c r="AU23" s="143"/>
      <c r="AV23" s="101"/>
      <c r="AW23" s="194"/>
      <c r="AX23" s="142"/>
      <c r="AY23" s="193"/>
      <c r="AZ23" s="101"/>
      <c r="BA23" s="103"/>
      <c r="BB23" s="102"/>
    </row>
    <row r="24" spans="1:54" s="185" customFormat="1" ht="38.25">
      <c r="A24" s="256"/>
      <c r="B24" s="256"/>
      <c r="C24" s="256"/>
      <c r="D24" s="256"/>
      <c r="E24" s="256"/>
      <c r="F24" s="144" t="s">
        <v>27</v>
      </c>
      <c r="G24" s="179">
        <v>0</v>
      </c>
      <c r="H24" s="179">
        <v>0</v>
      </c>
      <c r="I24" s="180">
        <v>602253.2</v>
      </c>
      <c r="J24" s="180">
        <v>0</v>
      </c>
      <c r="K24" s="180">
        <v>0</v>
      </c>
      <c r="L24" s="180">
        <v>0</v>
      </c>
      <c r="M24" s="180">
        <v>0</v>
      </c>
      <c r="N24" s="180">
        <v>0</v>
      </c>
      <c r="O24" s="180">
        <v>592706.2</v>
      </c>
      <c r="P24" s="130">
        <v>592706.2</v>
      </c>
      <c r="Q24" s="130">
        <v>592706.2</v>
      </c>
      <c r="R24" s="130">
        <v>589274.5</v>
      </c>
      <c r="S24" s="198">
        <v>603777.2</v>
      </c>
      <c r="T24" s="197">
        <v>0</v>
      </c>
      <c r="U24" s="167">
        <v>0</v>
      </c>
      <c r="V24" s="197">
        <v>0</v>
      </c>
      <c r="W24" s="167">
        <f>IF(H24=0,0,V24*100/H24)</f>
        <v>0</v>
      </c>
      <c r="X24" s="197">
        <v>0</v>
      </c>
      <c r="Y24" s="167">
        <f>IF(J24=0,0,X24*100/J24)</f>
        <v>0</v>
      </c>
      <c r="Z24" s="197">
        <v>0</v>
      </c>
      <c r="AA24" s="167">
        <f>IF(K24=0,0,Z24*100/K24)</f>
        <v>0</v>
      </c>
      <c r="AB24" s="197">
        <v>0</v>
      </c>
      <c r="AC24" s="167">
        <f>IF(L24=0,0,AB24*100/L24)</f>
        <v>0</v>
      </c>
      <c r="AD24" s="197">
        <v>0</v>
      </c>
      <c r="AE24" s="167">
        <f>IF(O24=0,0,AD24*100/O24)</f>
        <v>0</v>
      </c>
      <c r="AF24" s="197">
        <v>1452</v>
      </c>
      <c r="AG24" s="167">
        <f>IF(N24=0,0,AF24*100/N24)</f>
        <v>0</v>
      </c>
      <c r="AH24" s="197">
        <v>61698.8</v>
      </c>
      <c r="AI24" s="167">
        <f>IF(O24=0,0,AH24*100/O24)</f>
        <v>10.409676834829803</v>
      </c>
      <c r="AJ24" s="165">
        <v>96795.7</v>
      </c>
      <c r="AK24" s="167">
        <f>IF(P24=0,0,AJ24*100/P24)</f>
        <v>16.33114349065355</v>
      </c>
      <c r="AL24" s="197">
        <v>200664.3</v>
      </c>
      <c r="AM24" s="134">
        <f aca="true" t="shared" si="23" ref="AM24:AM29">IF(Q24=0,0,AL24*100/Q24)</f>
        <v>33.85561008135228</v>
      </c>
      <c r="AN24" s="198">
        <v>318927.9</v>
      </c>
      <c r="AO24" s="153">
        <f aca="true" t="shared" si="24" ref="AO24:AO29">AN24/I24*100</f>
        <v>52.955783381474774</v>
      </c>
      <c r="AP24" s="134">
        <f aca="true" t="shared" si="25" ref="AP24:AP29">IF(R24=0,0,AN24*100/R24)</f>
        <v>54.12212814231738</v>
      </c>
      <c r="AQ24" s="198">
        <v>603418.00036</v>
      </c>
      <c r="AR24" s="154">
        <f aca="true" t="shared" si="26" ref="AR24:AR29">AQ24/I24*100</f>
        <v>100.19340708525914</v>
      </c>
      <c r="AS24" s="154">
        <f aca="true" t="shared" si="27" ref="AS24:AS29">IF(S24=0,0,AQ24*100/S24)</f>
        <v>99.94050791583386</v>
      </c>
      <c r="AT24" s="197">
        <v>601983.2</v>
      </c>
      <c r="AU24" s="129">
        <f aca="true" t="shared" si="28" ref="AU24:AU29">AT24*100/I24</f>
        <v>99.95516835776048</v>
      </c>
      <c r="AV24" s="101"/>
      <c r="AW24" s="130">
        <v>284849.25999999995</v>
      </c>
      <c r="AX24" s="130">
        <v>284490.06035999994</v>
      </c>
      <c r="AY24" s="167">
        <f aca="true" t="shared" si="29" ref="AY24:AY29">IF(AW24=0,0,AX24*100/AW24)</f>
        <v>99.87389834188089</v>
      </c>
      <c r="AZ24" s="101"/>
      <c r="BA24" s="103"/>
      <c r="BB24" s="102"/>
    </row>
    <row r="25" spans="1:54" s="185" customFormat="1" ht="51">
      <c r="A25" s="256"/>
      <c r="B25" s="256"/>
      <c r="C25" s="256"/>
      <c r="D25" s="256"/>
      <c r="E25" s="256"/>
      <c r="F25" s="145" t="s">
        <v>30</v>
      </c>
      <c r="G25" s="179">
        <v>49801802</v>
      </c>
      <c r="H25" s="179">
        <v>49801802</v>
      </c>
      <c r="I25" s="165">
        <v>48142660.3</v>
      </c>
      <c r="J25" s="165">
        <v>49801802</v>
      </c>
      <c r="K25" s="165">
        <v>49884343.6</v>
      </c>
      <c r="L25" s="165">
        <v>49884343.6</v>
      </c>
      <c r="M25" s="165">
        <v>49884343.6</v>
      </c>
      <c r="N25" s="165">
        <v>49884343.6</v>
      </c>
      <c r="O25" s="130">
        <f>N25</f>
        <v>49884343.6</v>
      </c>
      <c r="P25" s="130">
        <f>O25</f>
        <v>49884343.6</v>
      </c>
      <c r="Q25" s="130">
        <f>P25</f>
        <v>49884343.6</v>
      </c>
      <c r="R25" s="130">
        <v>49884363.6</v>
      </c>
      <c r="S25" s="166">
        <v>49884363.6</v>
      </c>
      <c r="T25" s="165">
        <v>2192842.4</v>
      </c>
      <c r="U25" s="167">
        <f>SUM(T25/G25*100)</f>
        <v>4.403138665544672</v>
      </c>
      <c r="V25" s="165">
        <v>5459835.7</v>
      </c>
      <c r="W25" s="167">
        <f>IF(H25=0,0,V25*100/H25)</f>
        <v>10.963128804054119</v>
      </c>
      <c r="X25" s="165">
        <v>8570967.3</v>
      </c>
      <c r="Y25" s="167">
        <f>IF(J25=0,0,X25*100/J25)</f>
        <v>17.210154965878548</v>
      </c>
      <c r="Z25" s="165">
        <v>12191755.1</v>
      </c>
      <c r="AA25" s="167">
        <f>IF(K25=0,0,Z25*100/K25)</f>
        <v>24.440043148127142</v>
      </c>
      <c r="AB25" s="165">
        <v>18056614.2</v>
      </c>
      <c r="AC25" s="167">
        <f>IF(L25=0,0,AB25*100/L25)</f>
        <v>36.19695659381193</v>
      </c>
      <c r="AD25" s="165">
        <v>23378151.573189</v>
      </c>
      <c r="AE25" s="167">
        <f>IF(O25=0,0,AD25*100/O25)</f>
        <v>46.86470721284383</v>
      </c>
      <c r="AF25" s="165">
        <v>26232607.6</v>
      </c>
      <c r="AG25" s="167">
        <f>IF(N25=0,0,AF25*100/N25)</f>
        <v>52.586855327489964</v>
      </c>
      <c r="AH25" s="165">
        <v>28147718.8</v>
      </c>
      <c r="AI25" s="167">
        <f>IF(O25=0,0,AH25*100/O25)</f>
        <v>56.42595806352356</v>
      </c>
      <c r="AJ25" s="165">
        <v>31162090.8</v>
      </c>
      <c r="AK25" s="167">
        <f>IF(P25=0,0,AJ25*100/P25)</f>
        <v>62.46867965202613</v>
      </c>
      <c r="AL25" s="165">
        <v>36152796.7</v>
      </c>
      <c r="AM25" s="134">
        <f t="shared" si="23"/>
        <v>72.47323326511608</v>
      </c>
      <c r="AN25" s="166">
        <v>40121840.8</v>
      </c>
      <c r="AO25" s="153">
        <f t="shared" si="24"/>
        <v>83.33947594499675</v>
      </c>
      <c r="AP25" s="134">
        <f t="shared" si="25"/>
        <v>80.42969360443037</v>
      </c>
      <c r="AQ25" s="166">
        <v>47505336.36668</v>
      </c>
      <c r="AR25" s="154">
        <f t="shared" si="26"/>
        <v>98.67617632812869</v>
      </c>
      <c r="AS25" s="154">
        <f t="shared" si="27"/>
        <v>95.23091593911805</v>
      </c>
      <c r="AT25" s="165">
        <v>47238817.669999994</v>
      </c>
      <c r="AU25" s="129">
        <f t="shared" si="28"/>
        <v>98.12257439790878</v>
      </c>
      <c r="AV25" s="101"/>
      <c r="AW25" s="130">
        <v>9765247.469999991</v>
      </c>
      <c r="AX25" s="130">
        <v>7386220.236680001</v>
      </c>
      <c r="AY25" s="167">
        <f t="shared" si="29"/>
        <v>75.63781931150596</v>
      </c>
      <c r="AZ25" s="101"/>
      <c r="BA25" s="103"/>
      <c r="BB25" s="102"/>
    </row>
    <row r="26" spans="1:54" s="185" customFormat="1" ht="63.75">
      <c r="A26" s="256"/>
      <c r="B26" s="256"/>
      <c r="C26" s="256"/>
      <c r="D26" s="256"/>
      <c r="E26" s="256"/>
      <c r="F26" s="145" t="s">
        <v>38</v>
      </c>
      <c r="G26" s="179">
        <v>325003.5</v>
      </c>
      <c r="H26" s="179">
        <v>375599</v>
      </c>
      <c r="I26" s="165">
        <v>325003.5</v>
      </c>
      <c r="J26" s="166">
        <v>325003.5</v>
      </c>
      <c r="K26" s="166">
        <v>325003.5</v>
      </c>
      <c r="L26" s="166">
        <v>325003.5</v>
      </c>
      <c r="M26" s="166">
        <v>325003.5</v>
      </c>
      <c r="N26" s="166">
        <v>325003.5</v>
      </c>
      <c r="O26" s="166">
        <v>325003.5</v>
      </c>
      <c r="P26" s="166">
        <v>325003.5</v>
      </c>
      <c r="Q26" s="166">
        <v>325003.5</v>
      </c>
      <c r="R26" s="166">
        <v>325003.5</v>
      </c>
      <c r="S26" s="166">
        <v>325003.5</v>
      </c>
      <c r="T26" s="165">
        <v>0</v>
      </c>
      <c r="U26" s="167">
        <f>SUM(T26/G26*100)</f>
        <v>0</v>
      </c>
      <c r="V26" s="165">
        <v>3131.8</v>
      </c>
      <c r="W26" s="167">
        <f>IF(H26=0,0,V26*100/H26)</f>
        <v>0.833814786514341</v>
      </c>
      <c r="X26" s="165">
        <v>10828.3</v>
      </c>
      <c r="Y26" s="167">
        <f>IF(J26=0,0,X26*100/J26)</f>
        <v>3.331748735013623</v>
      </c>
      <c r="Z26" s="165">
        <v>25226.8</v>
      </c>
      <c r="AA26" s="167">
        <f>IF(K26=0,0,Z26*100/K26)</f>
        <v>7.762008716829204</v>
      </c>
      <c r="AB26" s="165">
        <v>25226.8</v>
      </c>
      <c r="AC26" s="167">
        <f>IF(L26=0,0,AB26*100/L26)</f>
        <v>7.762008716829204</v>
      </c>
      <c r="AD26" s="165">
        <v>46962.8</v>
      </c>
      <c r="AE26" s="167">
        <f>IF(O26=0,0,AD26*100/O26)</f>
        <v>14.44993669298946</v>
      </c>
      <c r="AF26" s="165">
        <v>63130.4</v>
      </c>
      <c r="AG26" s="167">
        <f>IF(N26=0,0,AF26*100/N26)</f>
        <v>19.424529274300124</v>
      </c>
      <c r="AH26" s="165">
        <v>126521.6</v>
      </c>
      <c r="AI26" s="167">
        <f>IF(O26=0,0,AH26*100/O26)</f>
        <v>38.92930383826636</v>
      </c>
      <c r="AJ26" s="165">
        <v>127750.2</v>
      </c>
      <c r="AK26" s="167">
        <f>IF(P26=0,0,AJ26*100/P26)</f>
        <v>39.307330536440375</v>
      </c>
      <c r="AL26" s="165">
        <v>167783.7</v>
      </c>
      <c r="AM26" s="134">
        <f t="shared" si="23"/>
        <v>51.62519788248434</v>
      </c>
      <c r="AN26" s="166">
        <v>184432.25</v>
      </c>
      <c r="AO26" s="153">
        <f t="shared" si="24"/>
        <v>56.747773485516305</v>
      </c>
      <c r="AP26" s="134">
        <f t="shared" si="25"/>
        <v>56.74777348551631</v>
      </c>
      <c r="AQ26" s="166">
        <v>310477.5</v>
      </c>
      <c r="AR26" s="154">
        <f t="shared" si="26"/>
        <v>95.5305096714343</v>
      </c>
      <c r="AS26" s="154">
        <f t="shared" si="27"/>
        <v>95.5305096714343</v>
      </c>
      <c r="AT26" s="165">
        <v>307126.9</v>
      </c>
      <c r="AU26" s="129">
        <f t="shared" si="28"/>
        <v>94.49956692774079</v>
      </c>
      <c r="AV26" s="101"/>
      <c r="AW26" s="130">
        <v>140571.25</v>
      </c>
      <c r="AX26" s="130">
        <v>126045.25</v>
      </c>
      <c r="AY26" s="167">
        <f t="shared" si="29"/>
        <v>89.66645028766551</v>
      </c>
      <c r="AZ26" s="101"/>
      <c r="BA26" s="103"/>
      <c r="BB26" s="102"/>
    </row>
    <row r="27" spans="1:54" s="185" customFormat="1" ht="51">
      <c r="A27" s="256"/>
      <c r="B27" s="256"/>
      <c r="C27" s="256"/>
      <c r="D27" s="256"/>
      <c r="E27" s="256"/>
      <c r="F27" s="145" t="s">
        <v>23</v>
      </c>
      <c r="G27" s="179">
        <v>1723107.41</v>
      </c>
      <c r="H27" s="179">
        <v>6912140.2</v>
      </c>
      <c r="I27" s="180">
        <v>1723107.4</v>
      </c>
      <c r="J27" s="180">
        <v>6912140.2</v>
      </c>
      <c r="K27" s="180">
        <v>3905745</v>
      </c>
      <c r="L27" s="180">
        <v>3905745</v>
      </c>
      <c r="M27" s="180">
        <v>3905745</v>
      </c>
      <c r="N27" s="180">
        <v>2403582.9</v>
      </c>
      <c r="O27" s="130">
        <f>N27</f>
        <v>2403582.9</v>
      </c>
      <c r="P27" s="130">
        <f>O27</f>
        <v>2403582.9</v>
      </c>
      <c r="Q27" s="130">
        <f>P27</f>
        <v>2403582.9</v>
      </c>
      <c r="R27" s="130">
        <v>1784898.4</v>
      </c>
      <c r="S27" s="166">
        <v>1723107.4</v>
      </c>
      <c r="T27" s="165">
        <v>0</v>
      </c>
      <c r="U27" s="167">
        <f>SUM(T27/G27*100)</f>
        <v>0</v>
      </c>
      <c r="V27" s="165">
        <v>5246.4</v>
      </c>
      <c r="W27" s="167">
        <f>IF(H27=0,0,V27*100/H27)</f>
        <v>0.07590123823009261</v>
      </c>
      <c r="X27" s="165">
        <v>45187.6</v>
      </c>
      <c r="Y27" s="167">
        <f>IF(J27=0,0,X27*100/J27)</f>
        <v>0.6537425268081223</v>
      </c>
      <c r="Z27" s="165">
        <v>64981.4</v>
      </c>
      <c r="AA27" s="167">
        <f>IF(K27=0,0,Z27*100/K27)</f>
        <v>1.6637389281686337</v>
      </c>
      <c r="AB27" s="165">
        <v>183412.9</v>
      </c>
      <c r="AC27" s="167">
        <f>IF(L27=0,0,AB27*100/L27)</f>
        <v>4.6959773359499914</v>
      </c>
      <c r="AD27" s="165">
        <v>329168.6</v>
      </c>
      <c r="AE27" s="167">
        <f>IF(O27=0,0,AD27*100/O27)</f>
        <v>13.694913539283375</v>
      </c>
      <c r="AF27" s="165">
        <v>510890.9</v>
      </c>
      <c r="AG27" s="167">
        <f>IF(N27=0,0,AF27*100/N27)</f>
        <v>21.25538919419006</v>
      </c>
      <c r="AH27" s="165">
        <v>648247.8</v>
      </c>
      <c r="AI27" s="167">
        <f>IF(O27=0,0,AH27*100/O27)</f>
        <v>26.97006206858936</v>
      </c>
      <c r="AJ27" s="165">
        <v>737589.9000000001</v>
      </c>
      <c r="AK27" s="167">
        <f>IF(P27=0,0,AJ27*100/P27)</f>
        <v>30.68710049484876</v>
      </c>
      <c r="AL27" s="165">
        <v>954347.4</v>
      </c>
      <c r="AM27" s="134">
        <f t="shared" si="23"/>
        <v>39.70520009940161</v>
      </c>
      <c r="AN27" s="166">
        <v>1179597.8</v>
      </c>
      <c r="AO27" s="153">
        <f t="shared" si="24"/>
        <v>68.45759004923315</v>
      </c>
      <c r="AP27" s="134">
        <f t="shared" si="25"/>
        <v>66.0876719929829</v>
      </c>
      <c r="AQ27" s="166">
        <v>1545107.41</v>
      </c>
      <c r="AR27" s="154">
        <f t="shared" si="26"/>
        <v>89.66982615244993</v>
      </c>
      <c r="AS27" s="154">
        <f t="shared" si="27"/>
        <v>89.66982615244993</v>
      </c>
      <c r="AT27" s="165">
        <v>1566255.6</v>
      </c>
      <c r="AU27" s="129">
        <f t="shared" si="28"/>
        <v>90.89715475657525</v>
      </c>
      <c r="AV27" s="101"/>
      <c r="AW27" s="130">
        <v>543146.8099999998</v>
      </c>
      <c r="AX27" s="130">
        <v>365146.8099999998</v>
      </c>
      <c r="AY27" s="167">
        <f t="shared" si="29"/>
        <v>67.22801336161764</v>
      </c>
      <c r="AZ27" s="101"/>
      <c r="BA27" s="103"/>
      <c r="BB27" s="102"/>
    </row>
    <row r="28" spans="1:54" s="185" customFormat="1" ht="38.25">
      <c r="A28" s="256"/>
      <c r="B28" s="256"/>
      <c r="C28" s="256"/>
      <c r="D28" s="256"/>
      <c r="E28" s="256"/>
      <c r="F28" s="145" t="s">
        <v>44</v>
      </c>
      <c r="G28" s="179">
        <v>5900000</v>
      </c>
      <c r="H28" s="179">
        <v>3905745</v>
      </c>
      <c r="I28" s="165">
        <v>5900000</v>
      </c>
      <c r="J28" s="166">
        <v>5900000</v>
      </c>
      <c r="K28" s="166">
        <v>5900000</v>
      </c>
      <c r="L28" s="166">
        <v>5900000</v>
      </c>
      <c r="M28" s="166">
        <v>5900000</v>
      </c>
      <c r="N28" s="166">
        <v>5900000</v>
      </c>
      <c r="O28" s="166">
        <v>5900000</v>
      </c>
      <c r="P28" s="166">
        <v>5900000</v>
      </c>
      <c r="Q28" s="166">
        <v>5900000</v>
      </c>
      <c r="R28" s="166">
        <v>5900000</v>
      </c>
      <c r="S28" s="166">
        <v>5900000</v>
      </c>
      <c r="T28" s="165">
        <v>0</v>
      </c>
      <c r="U28" s="167">
        <f>SUM(T28/G28*100)</f>
        <v>0</v>
      </c>
      <c r="V28" s="165">
        <v>0</v>
      </c>
      <c r="W28" s="167">
        <f>IF(H28=0,0,V28*100/H28)</f>
        <v>0</v>
      </c>
      <c r="X28" s="165">
        <v>0</v>
      </c>
      <c r="Y28" s="167">
        <f>IF(J28=0,0,X28*100/J28)</f>
        <v>0</v>
      </c>
      <c r="Z28" s="165">
        <v>0</v>
      </c>
      <c r="AA28" s="167">
        <f>IF(K28=0,0,Z28*100/K28)</f>
        <v>0</v>
      </c>
      <c r="AB28" s="165">
        <v>0</v>
      </c>
      <c r="AC28" s="167">
        <f>IF(L28=0,0,AB28*100/L28)</f>
        <v>0</v>
      </c>
      <c r="AD28" s="165">
        <v>0</v>
      </c>
      <c r="AE28" s="167">
        <f>IF(O28=0,0,AD28*100/O28)</f>
        <v>0</v>
      </c>
      <c r="AF28" s="165">
        <v>0</v>
      </c>
      <c r="AG28" s="167">
        <f>IF(N28=0,0,AF28*100/N28)</f>
        <v>0</v>
      </c>
      <c r="AH28" s="165">
        <v>0</v>
      </c>
      <c r="AI28" s="167">
        <f>IF(O28=0,0,AH28*100/O28)</f>
        <v>0</v>
      </c>
      <c r="AJ28" s="165">
        <v>0</v>
      </c>
      <c r="AK28" s="167">
        <f>IF(P28=0,0,AJ28*100/P28)</f>
        <v>0</v>
      </c>
      <c r="AL28" s="165">
        <v>0</v>
      </c>
      <c r="AM28" s="134">
        <f t="shared" si="23"/>
        <v>0</v>
      </c>
      <c r="AN28" s="166">
        <v>0</v>
      </c>
      <c r="AO28" s="153">
        <f t="shared" si="24"/>
        <v>0</v>
      </c>
      <c r="AP28" s="134">
        <f t="shared" si="25"/>
        <v>0</v>
      </c>
      <c r="AQ28" s="166">
        <v>5900000</v>
      </c>
      <c r="AR28" s="154">
        <f t="shared" si="26"/>
        <v>100</v>
      </c>
      <c r="AS28" s="154">
        <f t="shared" si="27"/>
        <v>100</v>
      </c>
      <c r="AT28" s="165">
        <v>6789156.2</v>
      </c>
      <c r="AU28" s="129">
        <f t="shared" si="28"/>
        <v>115.07044406779661</v>
      </c>
      <c r="AV28" s="101"/>
      <c r="AW28" s="130">
        <v>5900000</v>
      </c>
      <c r="AX28" s="130">
        <v>5900000</v>
      </c>
      <c r="AY28" s="167">
        <f t="shared" si="29"/>
        <v>100</v>
      </c>
      <c r="AZ28" s="101"/>
      <c r="BA28" s="103"/>
      <c r="BB28" s="102"/>
    </row>
    <row r="29" spans="1:53" s="102" customFormat="1" ht="409.5">
      <c r="A29" s="124" t="s">
        <v>47</v>
      </c>
      <c r="B29" s="186">
        <v>3</v>
      </c>
      <c r="C29" s="187" t="s">
        <v>53</v>
      </c>
      <c r="D29" s="109" t="s">
        <v>201</v>
      </c>
      <c r="E29" s="124" t="s">
        <v>24</v>
      </c>
      <c r="F29" s="128" t="s">
        <v>26</v>
      </c>
      <c r="G29" s="149">
        <f>SUM(G31:G35)</f>
        <v>26201336.6</v>
      </c>
      <c r="H29" s="149">
        <f>SUM(H31:H35)</f>
        <v>26201336.6</v>
      </c>
      <c r="I29" s="149">
        <f>SUM(I31:I35)</f>
        <v>25564082.1</v>
      </c>
      <c r="J29" s="149">
        <f>SUM(J31:J35)</f>
        <v>26300216.6</v>
      </c>
      <c r="K29" s="149">
        <v>26300216.6</v>
      </c>
      <c r="L29" s="149">
        <v>26300216.6</v>
      </c>
      <c r="M29" s="149">
        <f aca="true" t="shared" si="30" ref="M29:AL29">SUM(M31:M35)</f>
        <v>26081026.200000003</v>
      </c>
      <c r="N29" s="149">
        <f t="shared" si="30"/>
        <v>26081026.200000003</v>
      </c>
      <c r="O29" s="149">
        <f t="shared" si="30"/>
        <v>26095051.200000003</v>
      </c>
      <c r="P29" s="149">
        <f t="shared" si="30"/>
        <v>26095051.200000003</v>
      </c>
      <c r="Q29" s="188">
        <f t="shared" si="30"/>
        <v>26186521.6</v>
      </c>
      <c r="R29" s="149">
        <f t="shared" si="30"/>
        <v>26186521.6</v>
      </c>
      <c r="S29" s="152">
        <f t="shared" si="30"/>
        <v>26267357.7</v>
      </c>
      <c r="T29" s="149">
        <f t="shared" si="30"/>
        <v>744045</v>
      </c>
      <c r="U29" s="149">
        <f t="shared" si="30"/>
        <v>3.182437695049658</v>
      </c>
      <c r="V29" s="149">
        <f t="shared" si="30"/>
        <v>3048426.5</v>
      </c>
      <c r="W29" s="149">
        <f t="shared" si="30"/>
        <v>26.538869718882093</v>
      </c>
      <c r="X29" s="149">
        <f t="shared" si="30"/>
        <v>5186336.417</v>
      </c>
      <c r="Y29" s="149">
        <f t="shared" si="30"/>
        <v>52.29310368364138</v>
      </c>
      <c r="Z29" s="149">
        <f t="shared" si="30"/>
        <v>7293642.475000001</v>
      </c>
      <c r="AA29" s="149">
        <f t="shared" si="30"/>
        <v>77.33812673294793</v>
      </c>
      <c r="AB29" s="149">
        <f t="shared" si="30"/>
        <v>9194994.445</v>
      </c>
      <c r="AC29" s="149">
        <f t="shared" si="30"/>
        <v>98.66632998501058</v>
      </c>
      <c r="AD29" s="149">
        <f t="shared" si="30"/>
        <v>11363304.169</v>
      </c>
      <c r="AE29" s="149">
        <f t="shared" si="30"/>
        <v>164.8000711240644</v>
      </c>
      <c r="AF29" s="149">
        <f t="shared" si="30"/>
        <v>13563027.721999997</v>
      </c>
      <c r="AG29" s="149">
        <f t="shared" si="30"/>
        <v>219.90466882869228</v>
      </c>
      <c r="AH29" s="149">
        <f t="shared" si="30"/>
        <v>15428786.567</v>
      </c>
      <c r="AI29" s="149">
        <f t="shared" si="30"/>
        <v>253.47739951352412</v>
      </c>
      <c r="AJ29" s="149">
        <f t="shared" si="30"/>
        <v>17161229.367</v>
      </c>
      <c r="AK29" s="149">
        <f t="shared" si="30"/>
        <v>272.1206630847131</v>
      </c>
      <c r="AL29" s="149">
        <f t="shared" si="30"/>
        <v>19061594.567</v>
      </c>
      <c r="AM29" s="150">
        <f t="shared" si="23"/>
        <v>72.79162486017235</v>
      </c>
      <c r="AN29" s="152">
        <f>SUM(AN31:AN35)</f>
        <v>21368685.722000003</v>
      </c>
      <c r="AO29" s="153">
        <f t="shared" si="24"/>
        <v>83.58870714939538</v>
      </c>
      <c r="AP29" s="150">
        <f t="shared" si="25"/>
        <v>81.60184864720637</v>
      </c>
      <c r="AQ29" s="152">
        <f>SUM(AQ31:AQ35)</f>
        <v>25098144.7685</v>
      </c>
      <c r="AR29" s="154">
        <f t="shared" si="26"/>
        <v>98.17737507774629</v>
      </c>
      <c r="AS29" s="189">
        <f t="shared" si="27"/>
        <v>95.54879883674025</v>
      </c>
      <c r="AT29" s="190">
        <f>SUM(AT31:AT35)</f>
        <v>25435126.095700003</v>
      </c>
      <c r="AU29" s="129">
        <f t="shared" si="28"/>
        <v>99.49555785419732</v>
      </c>
      <c r="AV29" s="213" t="s">
        <v>213</v>
      </c>
      <c r="AW29" s="191">
        <f>SUM(AW31:AW35)</f>
        <v>5048119.2</v>
      </c>
      <c r="AX29" s="192">
        <f>SUM(AX31:AX35)</f>
        <v>3983234.1999999997</v>
      </c>
      <c r="AY29" s="151">
        <f t="shared" si="29"/>
        <v>78.90531190309451</v>
      </c>
      <c r="AZ29" s="131"/>
      <c r="BA29" s="103"/>
    </row>
    <row r="30" spans="1:53" s="102" customFormat="1" ht="25.5">
      <c r="A30" s="256"/>
      <c r="B30" s="256"/>
      <c r="C30" s="256"/>
      <c r="D30" s="256"/>
      <c r="E30" s="256"/>
      <c r="F30" s="136" t="s">
        <v>29</v>
      </c>
      <c r="G30" s="137"/>
      <c r="H30" s="137"/>
      <c r="I30" s="137"/>
      <c r="J30" s="137"/>
      <c r="K30" s="137"/>
      <c r="L30" s="137"/>
      <c r="M30" s="137"/>
      <c r="N30" s="137"/>
      <c r="O30" s="137"/>
      <c r="P30" s="137"/>
      <c r="Q30" s="137"/>
      <c r="R30" s="137"/>
      <c r="S30" s="139"/>
      <c r="T30" s="137"/>
      <c r="U30" s="137"/>
      <c r="V30" s="137"/>
      <c r="W30" s="137"/>
      <c r="X30" s="137"/>
      <c r="Y30" s="137"/>
      <c r="Z30" s="137"/>
      <c r="AA30" s="137"/>
      <c r="AB30" s="137"/>
      <c r="AC30" s="137"/>
      <c r="AD30" s="137"/>
      <c r="AE30" s="138"/>
      <c r="AF30" s="137"/>
      <c r="AG30" s="137"/>
      <c r="AH30" s="137"/>
      <c r="AI30" s="137"/>
      <c r="AJ30" s="137"/>
      <c r="AK30" s="137"/>
      <c r="AL30" s="137"/>
      <c r="AM30" s="137"/>
      <c r="AN30" s="139"/>
      <c r="AO30" s="138"/>
      <c r="AP30" s="137"/>
      <c r="AQ30" s="139"/>
      <c r="AR30" s="140"/>
      <c r="AS30" s="139"/>
      <c r="AT30" s="142"/>
      <c r="AU30" s="143"/>
      <c r="AV30" s="101"/>
      <c r="AW30" s="194"/>
      <c r="AX30" s="195"/>
      <c r="AY30" s="193"/>
      <c r="AZ30" s="101"/>
      <c r="BA30" s="103"/>
    </row>
    <row r="31" spans="1:53" s="102" customFormat="1" ht="38.25">
      <c r="A31" s="256"/>
      <c r="B31" s="256"/>
      <c r="C31" s="256"/>
      <c r="D31" s="256"/>
      <c r="E31" s="256"/>
      <c r="F31" s="144" t="s">
        <v>27</v>
      </c>
      <c r="G31" s="179">
        <v>2155207.8</v>
      </c>
      <c r="H31" s="179">
        <v>2155207.8</v>
      </c>
      <c r="I31" s="197">
        <v>1880566.8</v>
      </c>
      <c r="J31" s="197">
        <v>2156715</v>
      </c>
      <c r="K31" s="197">
        <v>2156715</v>
      </c>
      <c r="L31" s="197">
        <v>2156715</v>
      </c>
      <c r="M31" s="197">
        <v>2156715</v>
      </c>
      <c r="N31" s="197">
        <f>M31</f>
        <v>2156715</v>
      </c>
      <c r="O31" s="180">
        <v>2170740</v>
      </c>
      <c r="P31" s="180">
        <v>2170740</v>
      </c>
      <c r="Q31" s="197">
        <v>1880566.8</v>
      </c>
      <c r="R31" s="197">
        <v>1880566.8</v>
      </c>
      <c r="S31" s="198">
        <v>1967385.9</v>
      </c>
      <c r="T31" s="197">
        <v>0</v>
      </c>
      <c r="U31" s="167">
        <f>SUM(T31/G31*100)</f>
        <v>0</v>
      </c>
      <c r="V31" s="197">
        <v>320499.9</v>
      </c>
      <c r="W31" s="167">
        <f aca="true" t="shared" si="31" ref="W31:W36">IF(H31=0,0,V31*100/H31)</f>
        <v>14.870951190878209</v>
      </c>
      <c r="X31" s="197">
        <v>470805.5</v>
      </c>
      <c r="Y31" s="167">
        <f aca="true" t="shared" si="32" ref="Y31:Y36">IF(J31=0,0,X31*100/J31)</f>
        <v>21.829750337898147</v>
      </c>
      <c r="Z31" s="197">
        <v>609820.03</v>
      </c>
      <c r="AA31" s="167">
        <f aca="true" t="shared" si="33" ref="AA31:AA36">IF(K31=0,0,Z31*100/K31)</f>
        <v>28.27541098383421</v>
      </c>
      <c r="AB31" s="197">
        <v>757607.6</v>
      </c>
      <c r="AC31" s="167">
        <f aca="true" t="shared" si="34" ref="AC31:AC36">IF(L31=0,0,AB31*100/L31)</f>
        <v>35.12784953042011</v>
      </c>
      <c r="AD31" s="197">
        <v>912703.2</v>
      </c>
      <c r="AE31" s="167">
        <f aca="true" t="shared" si="35" ref="AE31:AE36">IF(O31=0,0,AD31*100/O31)</f>
        <v>42.04571712872108</v>
      </c>
      <c r="AF31" s="197">
        <v>1066844.1</v>
      </c>
      <c r="AG31" s="167">
        <f aca="true" t="shared" si="36" ref="AG31:AG36">IF(N31=0,0,AF31*100/N31)</f>
        <v>49.46616034107428</v>
      </c>
      <c r="AH31" s="197">
        <v>1235868.3</v>
      </c>
      <c r="AI31" s="167">
        <f aca="true" t="shared" si="37" ref="AI31:AI36">IF(O31=0,0,AH31*100/O31)</f>
        <v>56.93304126703336</v>
      </c>
      <c r="AJ31" s="197">
        <v>1374749</v>
      </c>
      <c r="AK31" s="167">
        <f aca="true" t="shared" si="38" ref="AK31:AK36">IF(P31=0,0,AJ31*100/P31)</f>
        <v>63.330891769626945</v>
      </c>
      <c r="AL31" s="197">
        <v>1511681.5</v>
      </c>
      <c r="AM31" s="134">
        <f aca="true" t="shared" si="39" ref="AM31:AM36">IF(Q31=0,0,AL31*100/Q31)</f>
        <v>80.38435539753227</v>
      </c>
      <c r="AN31" s="198">
        <v>1655532</v>
      </c>
      <c r="AO31" s="153">
        <f aca="true" t="shared" si="40" ref="AO31:AO36">AN31/I31*100</f>
        <v>88.03367155051338</v>
      </c>
      <c r="AP31" s="134">
        <f aca="true" t="shared" si="41" ref="AP31:AP36">IF(R31=0,0,AN31*100/R31)</f>
        <v>88.03367155051339</v>
      </c>
      <c r="AQ31" s="198">
        <v>1794060.8</v>
      </c>
      <c r="AR31" s="154">
        <f aca="true" t="shared" si="42" ref="AR31:AR36">AQ31/I31*100</f>
        <v>95.40000387117331</v>
      </c>
      <c r="AS31" s="243">
        <f aca="true" t="shared" si="43" ref="AS31:AS36">IF(S31=0,0,AQ31*100/S31)</f>
        <v>91.19008121385845</v>
      </c>
      <c r="AT31" s="197">
        <v>1794060.7272</v>
      </c>
      <c r="AU31" s="129">
        <f aca="true" t="shared" si="44" ref="AU31:AU36">AT31*100/I31</f>
        <v>95.39999999999999</v>
      </c>
      <c r="AV31" s="101"/>
      <c r="AW31" s="180">
        <v>236915</v>
      </c>
      <c r="AX31" s="197">
        <v>134582.5</v>
      </c>
      <c r="AY31" s="167">
        <f aca="true" t="shared" si="45" ref="AY31:AY36">IF(AW31=0,0,AX31*100/AW31)</f>
        <v>56.80623852436528</v>
      </c>
      <c r="AZ31" s="101"/>
      <c r="BA31" s="103"/>
    </row>
    <row r="32" spans="1:53" s="102" customFormat="1" ht="51">
      <c r="A32" s="256"/>
      <c r="B32" s="256"/>
      <c r="C32" s="256"/>
      <c r="D32" s="256"/>
      <c r="E32" s="256"/>
      <c r="F32" s="145" t="s">
        <v>30</v>
      </c>
      <c r="G32" s="179">
        <v>23379719.3</v>
      </c>
      <c r="H32" s="179">
        <v>23379719.3</v>
      </c>
      <c r="I32" s="165">
        <v>23236489</v>
      </c>
      <c r="J32" s="165">
        <v>23476052.1</v>
      </c>
      <c r="K32" s="165">
        <v>23476052.1</v>
      </c>
      <c r="L32" s="165">
        <v>23476052.1</v>
      </c>
      <c r="M32" s="165">
        <v>23476052.1</v>
      </c>
      <c r="N32" s="197">
        <f>M32</f>
        <v>23476052.1</v>
      </c>
      <c r="O32" s="130">
        <f aca="true" t="shared" si="46" ref="O32:P34">N32</f>
        <v>23476052.1</v>
      </c>
      <c r="P32" s="130">
        <f t="shared" si="46"/>
        <v>23476052.1</v>
      </c>
      <c r="Q32" s="165">
        <v>23852945.5</v>
      </c>
      <c r="R32" s="165">
        <v>23852945.5</v>
      </c>
      <c r="S32" s="166">
        <v>23852945.5</v>
      </c>
      <c r="T32" s="165">
        <v>744045</v>
      </c>
      <c r="U32" s="167">
        <f>SUM(T32/G32*100)</f>
        <v>3.182437695049658</v>
      </c>
      <c r="V32" s="165">
        <v>2727926.6</v>
      </c>
      <c r="W32" s="167">
        <f t="shared" si="31"/>
        <v>11.667918528003884</v>
      </c>
      <c r="X32" s="165">
        <v>4666274.9</v>
      </c>
      <c r="Y32" s="167">
        <f t="shared" si="32"/>
        <v>19.876744522985618</v>
      </c>
      <c r="Z32" s="165">
        <v>6578040.8</v>
      </c>
      <c r="AA32" s="167">
        <f t="shared" si="33"/>
        <v>28.02021724939007</v>
      </c>
      <c r="AB32" s="165">
        <v>8320737.4</v>
      </c>
      <c r="AC32" s="167">
        <f t="shared" si="34"/>
        <v>35.44351224199234</v>
      </c>
      <c r="AD32" s="165">
        <v>10294246.809</v>
      </c>
      <c r="AE32" s="167">
        <f t="shared" si="35"/>
        <v>43.849991323711535</v>
      </c>
      <c r="AF32" s="165">
        <v>12278685.2</v>
      </c>
      <c r="AG32" s="167">
        <f t="shared" si="36"/>
        <v>52.30302415285575</v>
      </c>
      <c r="AH32" s="165">
        <v>13924222.1</v>
      </c>
      <c r="AI32" s="167">
        <f t="shared" si="37"/>
        <v>59.312451858121406</v>
      </c>
      <c r="AJ32" s="165">
        <v>15522183.9</v>
      </c>
      <c r="AK32" s="167">
        <f t="shared" si="38"/>
        <v>66.11922581309997</v>
      </c>
      <c r="AL32" s="165">
        <v>17238784.2</v>
      </c>
      <c r="AM32" s="134">
        <f t="shared" si="39"/>
        <v>72.27109205443831</v>
      </c>
      <c r="AN32" s="166">
        <v>19388516.3</v>
      </c>
      <c r="AO32" s="153">
        <f t="shared" si="40"/>
        <v>83.4399564409236</v>
      </c>
      <c r="AP32" s="134">
        <f t="shared" si="41"/>
        <v>81.28353079077802</v>
      </c>
      <c r="AQ32" s="166">
        <v>22889945.7</v>
      </c>
      <c r="AR32" s="154">
        <f t="shared" si="42"/>
        <v>98.50862451724096</v>
      </c>
      <c r="AS32" s="243">
        <f t="shared" si="43"/>
        <v>95.96276359244605</v>
      </c>
      <c r="AT32" s="165">
        <v>23198413</v>
      </c>
      <c r="AU32" s="129">
        <f t="shared" si="44"/>
        <v>99.83613703429981</v>
      </c>
      <c r="AV32" s="101"/>
      <c r="AW32" s="130">
        <v>4734107.9</v>
      </c>
      <c r="AX32" s="197">
        <v>3771108.1</v>
      </c>
      <c r="AY32" s="167">
        <f t="shared" si="45"/>
        <v>79.65826254192474</v>
      </c>
      <c r="AZ32" s="101"/>
      <c r="BA32" s="103"/>
    </row>
    <row r="33" spans="1:53" s="102" customFormat="1" ht="63.75">
      <c r="A33" s="256"/>
      <c r="B33" s="256"/>
      <c r="C33" s="256"/>
      <c r="D33" s="256"/>
      <c r="E33" s="256"/>
      <c r="F33" s="145" t="s">
        <v>38</v>
      </c>
      <c r="G33" s="179">
        <v>90502.5</v>
      </c>
      <c r="H33" s="179">
        <v>90502.5</v>
      </c>
      <c r="I33" s="180">
        <v>88131.5</v>
      </c>
      <c r="J33" s="180">
        <v>91542.5</v>
      </c>
      <c r="K33" s="180">
        <v>91542.5</v>
      </c>
      <c r="L33" s="180">
        <v>91542.5</v>
      </c>
      <c r="M33" s="180">
        <v>88131.5</v>
      </c>
      <c r="N33" s="197">
        <f>M33</f>
        <v>88131.5</v>
      </c>
      <c r="O33" s="130">
        <f t="shared" si="46"/>
        <v>88131.5</v>
      </c>
      <c r="P33" s="130">
        <f t="shared" si="46"/>
        <v>88131.5</v>
      </c>
      <c r="Q33" s="165">
        <v>88131.5</v>
      </c>
      <c r="R33" s="165">
        <v>88131.5</v>
      </c>
      <c r="S33" s="166">
        <v>88131.5</v>
      </c>
      <c r="T33" s="165">
        <v>0</v>
      </c>
      <c r="U33" s="167">
        <f>SUM(T33/G33*100)</f>
        <v>0</v>
      </c>
      <c r="V33" s="165">
        <v>0</v>
      </c>
      <c r="W33" s="167">
        <f t="shared" si="31"/>
        <v>0</v>
      </c>
      <c r="X33" s="165">
        <v>2213.7</v>
      </c>
      <c r="Y33" s="167">
        <f t="shared" si="32"/>
        <v>2.4182210448698687</v>
      </c>
      <c r="Z33" s="165">
        <v>2911.2000000000003</v>
      </c>
      <c r="AA33" s="167">
        <f t="shared" si="33"/>
        <v>3.180162219734003</v>
      </c>
      <c r="AB33" s="165">
        <v>8533.400000000001</v>
      </c>
      <c r="AC33" s="167">
        <f t="shared" si="34"/>
        <v>9.321790425212335</v>
      </c>
      <c r="AD33" s="165">
        <v>41410.159999999996</v>
      </c>
      <c r="AE33" s="167">
        <f t="shared" si="35"/>
        <v>46.986786790194195</v>
      </c>
      <c r="AF33" s="165">
        <v>67376.222</v>
      </c>
      <c r="AG33" s="167">
        <f t="shared" si="36"/>
        <v>76.44964853656184</v>
      </c>
      <c r="AH33" s="165">
        <v>73070.42199999999</v>
      </c>
      <c r="AI33" s="167">
        <f t="shared" si="37"/>
        <v>82.91067552464214</v>
      </c>
      <c r="AJ33" s="165">
        <v>80842.222</v>
      </c>
      <c r="AK33" s="167">
        <f t="shared" si="38"/>
        <v>91.72908891826418</v>
      </c>
      <c r="AL33" s="165">
        <v>81449.62199999999</v>
      </c>
      <c r="AM33" s="134">
        <f t="shared" si="39"/>
        <v>92.41828631079693</v>
      </c>
      <c r="AN33" s="166">
        <v>81449.62199999999</v>
      </c>
      <c r="AO33" s="153">
        <f t="shared" si="40"/>
        <v>92.41828631079693</v>
      </c>
      <c r="AP33" s="134">
        <f t="shared" si="41"/>
        <v>92.41828631079693</v>
      </c>
      <c r="AQ33" s="166">
        <v>88043.36850000001</v>
      </c>
      <c r="AR33" s="154">
        <f t="shared" si="42"/>
        <v>99.9</v>
      </c>
      <c r="AS33" s="243">
        <f t="shared" si="43"/>
        <v>99.90000000000002</v>
      </c>
      <c r="AT33" s="165">
        <v>88043.36850000001</v>
      </c>
      <c r="AU33" s="129">
        <f t="shared" si="44"/>
        <v>99.90000000000002</v>
      </c>
      <c r="AV33" s="101"/>
      <c r="AW33" s="130">
        <v>899</v>
      </c>
      <c r="AX33" s="197">
        <v>810.9</v>
      </c>
      <c r="AY33" s="167">
        <f t="shared" si="45"/>
        <v>90.20022246941046</v>
      </c>
      <c r="AZ33" s="101"/>
      <c r="BA33" s="103"/>
    </row>
    <row r="34" spans="1:53" s="102" customFormat="1" ht="51">
      <c r="A34" s="256"/>
      <c r="B34" s="256"/>
      <c r="C34" s="256"/>
      <c r="D34" s="256"/>
      <c r="E34" s="256"/>
      <c r="F34" s="145" t="s">
        <v>23</v>
      </c>
      <c r="G34" s="179">
        <v>575907</v>
      </c>
      <c r="H34" s="179">
        <v>575907</v>
      </c>
      <c r="I34" s="199">
        <v>336645.3</v>
      </c>
      <c r="J34" s="180">
        <v>575907</v>
      </c>
      <c r="K34" s="180">
        <v>575907</v>
      </c>
      <c r="L34" s="180">
        <v>575907</v>
      </c>
      <c r="M34" s="180">
        <v>360127.6</v>
      </c>
      <c r="N34" s="197">
        <f>M34</f>
        <v>360127.6</v>
      </c>
      <c r="O34" s="130">
        <f t="shared" si="46"/>
        <v>360127.6</v>
      </c>
      <c r="P34" s="130">
        <f t="shared" si="46"/>
        <v>360127.6</v>
      </c>
      <c r="Q34" s="165">
        <v>342628.3</v>
      </c>
      <c r="R34" s="165">
        <v>342628.3</v>
      </c>
      <c r="S34" s="166">
        <v>336645.3</v>
      </c>
      <c r="T34" s="165">
        <v>0</v>
      </c>
      <c r="U34" s="167">
        <f>SUM(T34/G34*100)</f>
        <v>0</v>
      </c>
      <c r="V34" s="165">
        <v>0</v>
      </c>
      <c r="W34" s="167">
        <f t="shared" si="31"/>
        <v>0</v>
      </c>
      <c r="X34" s="165">
        <v>47042.316999999995</v>
      </c>
      <c r="Y34" s="167">
        <f t="shared" si="32"/>
        <v>8.168387777887748</v>
      </c>
      <c r="Z34" s="165">
        <v>102870.44499999999</v>
      </c>
      <c r="AA34" s="167">
        <f t="shared" si="33"/>
        <v>17.862336279989652</v>
      </c>
      <c r="AB34" s="165">
        <v>108116.045</v>
      </c>
      <c r="AC34" s="167">
        <f t="shared" si="34"/>
        <v>18.773177787385812</v>
      </c>
      <c r="AD34" s="165">
        <v>114944</v>
      </c>
      <c r="AE34" s="167">
        <f t="shared" si="35"/>
        <v>31.917575881437582</v>
      </c>
      <c r="AF34" s="165">
        <v>150122.2</v>
      </c>
      <c r="AG34" s="164">
        <f t="shared" si="36"/>
        <v>41.68583579820042</v>
      </c>
      <c r="AH34" s="165">
        <v>195625.745</v>
      </c>
      <c r="AI34" s="167">
        <f t="shared" si="37"/>
        <v>54.321230863727195</v>
      </c>
      <c r="AJ34" s="165">
        <v>183454.245</v>
      </c>
      <c r="AK34" s="167">
        <f t="shared" si="38"/>
        <v>50.941456583721994</v>
      </c>
      <c r="AL34" s="165">
        <v>229679.245</v>
      </c>
      <c r="AM34" s="134">
        <f t="shared" si="39"/>
        <v>67.03452254235859</v>
      </c>
      <c r="AN34" s="166">
        <v>243187.8</v>
      </c>
      <c r="AO34" s="284">
        <f t="shared" si="40"/>
        <v>72.23858464680778</v>
      </c>
      <c r="AP34" s="134">
        <f t="shared" si="41"/>
        <v>70.9771492897697</v>
      </c>
      <c r="AQ34" s="166">
        <v>309293</v>
      </c>
      <c r="AR34" s="287">
        <f t="shared" si="42"/>
        <v>91.87503880196753</v>
      </c>
      <c r="AS34" s="243">
        <f t="shared" si="43"/>
        <v>91.87503880196753</v>
      </c>
      <c r="AT34" s="165">
        <v>336645.3</v>
      </c>
      <c r="AU34" s="129">
        <f t="shared" si="44"/>
        <v>100</v>
      </c>
      <c r="AV34" s="101"/>
      <c r="AW34" s="130">
        <v>53947.8</v>
      </c>
      <c r="AX34" s="197">
        <v>59930.8</v>
      </c>
      <c r="AY34" s="167">
        <f t="shared" si="45"/>
        <v>111.09035030158782</v>
      </c>
      <c r="AZ34" s="101"/>
      <c r="BA34" s="103"/>
    </row>
    <row r="35" spans="1:53" s="102" customFormat="1" ht="38.25">
      <c r="A35" s="256"/>
      <c r="B35" s="256"/>
      <c r="C35" s="256"/>
      <c r="D35" s="256"/>
      <c r="E35" s="256"/>
      <c r="F35" s="145" t="s">
        <v>44</v>
      </c>
      <c r="G35" s="179">
        <v>0</v>
      </c>
      <c r="H35" s="179">
        <v>0</v>
      </c>
      <c r="I35" s="180">
        <v>22249.5</v>
      </c>
      <c r="J35" s="180">
        <v>0</v>
      </c>
      <c r="K35" s="180">
        <v>0</v>
      </c>
      <c r="L35" s="165">
        <v>0</v>
      </c>
      <c r="M35" s="165">
        <v>0</v>
      </c>
      <c r="N35" s="197">
        <f>M35</f>
        <v>0</v>
      </c>
      <c r="O35" s="130">
        <f>N35</f>
        <v>0</v>
      </c>
      <c r="P35" s="165">
        <v>0</v>
      </c>
      <c r="Q35" s="165">
        <v>22249.5</v>
      </c>
      <c r="R35" s="165">
        <v>22249.5</v>
      </c>
      <c r="S35" s="166">
        <v>22249.5</v>
      </c>
      <c r="T35" s="165">
        <v>0</v>
      </c>
      <c r="U35" s="167">
        <v>0</v>
      </c>
      <c r="V35" s="165">
        <v>0</v>
      </c>
      <c r="W35" s="167">
        <f t="shared" si="31"/>
        <v>0</v>
      </c>
      <c r="X35" s="165">
        <v>0</v>
      </c>
      <c r="Y35" s="167">
        <f t="shared" si="32"/>
        <v>0</v>
      </c>
      <c r="Z35" s="165">
        <v>0</v>
      </c>
      <c r="AA35" s="167">
        <f t="shared" si="33"/>
        <v>0</v>
      </c>
      <c r="AB35" s="165">
        <v>0</v>
      </c>
      <c r="AC35" s="167">
        <f t="shared" si="34"/>
        <v>0</v>
      </c>
      <c r="AD35" s="165">
        <v>0</v>
      </c>
      <c r="AE35" s="167">
        <f t="shared" si="35"/>
        <v>0</v>
      </c>
      <c r="AF35" s="165">
        <v>0</v>
      </c>
      <c r="AG35" s="164">
        <f t="shared" si="36"/>
        <v>0</v>
      </c>
      <c r="AH35" s="165">
        <v>0</v>
      </c>
      <c r="AI35" s="167">
        <f t="shared" si="37"/>
        <v>0</v>
      </c>
      <c r="AJ35" s="165">
        <v>0</v>
      </c>
      <c r="AK35" s="167">
        <f t="shared" si="38"/>
        <v>0</v>
      </c>
      <c r="AL35" s="165">
        <v>0</v>
      </c>
      <c r="AM35" s="134">
        <f t="shared" si="39"/>
        <v>0</v>
      </c>
      <c r="AN35" s="166">
        <v>0</v>
      </c>
      <c r="AO35" s="153">
        <f t="shared" si="40"/>
        <v>0</v>
      </c>
      <c r="AP35" s="134">
        <f t="shared" si="41"/>
        <v>0</v>
      </c>
      <c r="AQ35" s="166">
        <v>16801.9</v>
      </c>
      <c r="AR35" s="154">
        <f t="shared" si="42"/>
        <v>75.51585428886042</v>
      </c>
      <c r="AS35" s="243">
        <f t="shared" si="43"/>
        <v>75.51585428886044</v>
      </c>
      <c r="AT35" s="165">
        <v>17963.699999999997</v>
      </c>
      <c r="AU35" s="129">
        <f t="shared" si="44"/>
        <v>80.73754466392502</v>
      </c>
      <c r="AV35" s="101"/>
      <c r="AW35" s="130">
        <v>22249.5</v>
      </c>
      <c r="AX35" s="165">
        <v>16801.9</v>
      </c>
      <c r="AY35" s="167">
        <f t="shared" si="45"/>
        <v>75.51585428886044</v>
      </c>
      <c r="AZ35" s="101"/>
      <c r="BA35" s="103"/>
    </row>
    <row r="36" spans="1:53" s="102" customFormat="1" ht="409.5">
      <c r="A36" s="124" t="s">
        <v>47</v>
      </c>
      <c r="B36" s="186">
        <v>4</v>
      </c>
      <c r="C36" s="187" t="s">
        <v>102</v>
      </c>
      <c r="D36" s="124" t="s">
        <v>173</v>
      </c>
      <c r="E36" s="124" t="s">
        <v>7</v>
      </c>
      <c r="F36" s="128" t="s">
        <v>26</v>
      </c>
      <c r="G36" s="149">
        <f aca="true" t="shared" si="47" ref="G36:T36">SUM(G38:G42)</f>
        <v>230015</v>
      </c>
      <c r="H36" s="149">
        <f t="shared" si="47"/>
        <v>287985</v>
      </c>
      <c r="I36" s="149">
        <f t="shared" si="47"/>
        <v>293028.6</v>
      </c>
      <c r="J36" s="149">
        <f t="shared" si="47"/>
        <v>293028.6</v>
      </c>
      <c r="K36" s="149">
        <f t="shared" si="47"/>
        <v>293028.6</v>
      </c>
      <c r="L36" s="149">
        <f t="shared" si="47"/>
        <v>293028.6</v>
      </c>
      <c r="M36" s="149">
        <f t="shared" si="47"/>
        <v>293028.6</v>
      </c>
      <c r="N36" s="149">
        <f t="shared" si="47"/>
        <v>293028.6</v>
      </c>
      <c r="O36" s="149">
        <f t="shared" si="47"/>
        <v>293028.6</v>
      </c>
      <c r="P36" s="149">
        <f t="shared" si="47"/>
        <v>293028.6</v>
      </c>
      <c r="Q36" s="149">
        <f t="shared" si="47"/>
        <v>293028.6</v>
      </c>
      <c r="R36" s="149">
        <f t="shared" si="47"/>
        <v>293028.6</v>
      </c>
      <c r="S36" s="152">
        <f t="shared" si="47"/>
        <v>293028.6</v>
      </c>
      <c r="T36" s="149">
        <f t="shared" si="47"/>
        <v>0</v>
      </c>
      <c r="U36" s="150">
        <f>SUM(T36/G36*100)</f>
        <v>0</v>
      </c>
      <c r="V36" s="149">
        <f>SUM(V38:V42)</f>
        <v>4245.099999999999</v>
      </c>
      <c r="W36" s="150">
        <f t="shared" si="31"/>
        <v>1.4740698300258692</v>
      </c>
      <c r="X36" s="149">
        <f>SUM(X38:X42)</f>
        <v>7135.9</v>
      </c>
      <c r="Y36" s="150">
        <f t="shared" si="32"/>
        <v>2.4352230464876126</v>
      </c>
      <c r="Z36" s="149">
        <f>SUM(Z38:Z42)</f>
        <v>15590.1</v>
      </c>
      <c r="AA36" s="150">
        <f t="shared" si="33"/>
        <v>5.320333919624228</v>
      </c>
      <c r="AB36" s="149">
        <f>SUM(AB38:AB42)</f>
        <v>19746.7</v>
      </c>
      <c r="AC36" s="150">
        <f t="shared" si="34"/>
        <v>6.738830271174896</v>
      </c>
      <c r="AD36" s="149">
        <f>SUM(AD38:AD42)</f>
        <v>43849.3</v>
      </c>
      <c r="AE36" s="151">
        <f t="shared" si="35"/>
        <v>14.964170732822668</v>
      </c>
      <c r="AF36" s="149">
        <f>SUM(AF38:AF42)</f>
        <v>63242.799999999996</v>
      </c>
      <c r="AG36" s="150">
        <f t="shared" si="36"/>
        <v>21.582466694377274</v>
      </c>
      <c r="AH36" s="149">
        <f>SUM(AH38:AH42)</f>
        <v>81812.8</v>
      </c>
      <c r="AI36" s="150">
        <f t="shared" si="37"/>
        <v>27.91973206710881</v>
      </c>
      <c r="AJ36" s="149">
        <f>SUM(AJ38:AJ42)</f>
        <v>103518</v>
      </c>
      <c r="AK36" s="150">
        <f t="shared" si="38"/>
        <v>35.32692713270992</v>
      </c>
      <c r="AL36" s="149">
        <f>SUM(AL38:AL42)</f>
        <v>122859.8</v>
      </c>
      <c r="AM36" s="150">
        <f t="shared" si="39"/>
        <v>41.927579765251586</v>
      </c>
      <c r="AN36" s="152">
        <f>SUM(AN38:AN42)</f>
        <v>175964</v>
      </c>
      <c r="AO36" s="153">
        <f t="shared" si="40"/>
        <v>60.050111149560145</v>
      </c>
      <c r="AP36" s="150">
        <f t="shared" si="41"/>
        <v>60.05011114956015</v>
      </c>
      <c r="AQ36" s="152">
        <f>SUM(AQ38:AQ42)</f>
        <v>281528.7</v>
      </c>
      <c r="AR36" s="154">
        <f t="shared" si="42"/>
        <v>96.07550252773962</v>
      </c>
      <c r="AS36" s="189">
        <f t="shared" si="43"/>
        <v>96.07550252773962</v>
      </c>
      <c r="AT36" s="190">
        <f>SUM(AT38:AT42)</f>
        <v>285828.4</v>
      </c>
      <c r="AU36" s="129">
        <f t="shared" si="44"/>
        <v>97.54283370292185</v>
      </c>
      <c r="AV36" s="213" t="s">
        <v>222</v>
      </c>
      <c r="AW36" s="191">
        <f>SUM(AW38:AW42)</f>
        <v>120219.7</v>
      </c>
      <c r="AX36" s="191">
        <f>SUM(AX38:AX42)</f>
        <v>112786</v>
      </c>
      <c r="AY36" s="134">
        <f t="shared" si="45"/>
        <v>93.81657082824196</v>
      </c>
      <c r="AZ36" s="131" t="s">
        <v>219</v>
      </c>
      <c r="BA36" s="103"/>
    </row>
    <row r="37" spans="1:53" s="102" customFormat="1" ht="25.5">
      <c r="A37" s="256"/>
      <c r="B37" s="256"/>
      <c r="C37" s="256"/>
      <c r="D37" s="256"/>
      <c r="E37" s="256"/>
      <c r="F37" s="136" t="s">
        <v>29</v>
      </c>
      <c r="G37" s="137"/>
      <c r="H37" s="137"/>
      <c r="I37" s="137"/>
      <c r="J37" s="137"/>
      <c r="K37" s="137"/>
      <c r="L37" s="137"/>
      <c r="M37" s="137"/>
      <c r="N37" s="137"/>
      <c r="O37" s="137"/>
      <c r="P37" s="137"/>
      <c r="Q37" s="137"/>
      <c r="R37" s="137"/>
      <c r="S37" s="139"/>
      <c r="T37" s="137"/>
      <c r="U37" s="137"/>
      <c r="V37" s="137"/>
      <c r="W37" s="137"/>
      <c r="X37" s="137"/>
      <c r="Y37" s="137"/>
      <c r="Z37" s="137"/>
      <c r="AA37" s="137"/>
      <c r="AB37" s="137"/>
      <c r="AC37" s="137"/>
      <c r="AD37" s="137"/>
      <c r="AE37" s="138"/>
      <c r="AF37" s="137"/>
      <c r="AG37" s="137"/>
      <c r="AH37" s="137"/>
      <c r="AI37" s="137"/>
      <c r="AJ37" s="137"/>
      <c r="AK37" s="137"/>
      <c r="AL37" s="137"/>
      <c r="AM37" s="137"/>
      <c r="AN37" s="139"/>
      <c r="AO37" s="138"/>
      <c r="AP37" s="137"/>
      <c r="AQ37" s="139"/>
      <c r="AR37" s="140"/>
      <c r="AS37" s="139"/>
      <c r="AT37" s="142"/>
      <c r="AU37" s="143"/>
      <c r="AV37" s="101"/>
      <c r="AW37" s="194"/>
      <c r="AX37" s="142"/>
      <c r="AY37" s="193"/>
      <c r="AZ37" s="101"/>
      <c r="BA37" s="103"/>
    </row>
    <row r="38" spans="1:53" s="102" customFormat="1" ht="38.25">
      <c r="A38" s="256"/>
      <c r="B38" s="256"/>
      <c r="C38" s="256"/>
      <c r="D38" s="256"/>
      <c r="E38" s="256"/>
      <c r="F38" s="144" t="s">
        <v>27</v>
      </c>
      <c r="G38" s="179">
        <v>0</v>
      </c>
      <c r="H38" s="167">
        <v>57970</v>
      </c>
      <c r="I38" s="180">
        <v>69692.6</v>
      </c>
      <c r="J38" s="180">
        <v>69692.6</v>
      </c>
      <c r="K38" s="180">
        <v>69692.6</v>
      </c>
      <c r="L38" s="180">
        <v>69692.6</v>
      </c>
      <c r="M38" s="180">
        <v>69692.6</v>
      </c>
      <c r="N38" s="180">
        <v>69692.6</v>
      </c>
      <c r="O38" s="180">
        <v>69692.6</v>
      </c>
      <c r="P38" s="180">
        <v>69692.6</v>
      </c>
      <c r="Q38" s="180">
        <v>69692.6</v>
      </c>
      <c r="R38" s="180">
        <v>69692.6</v>
      </c>
      <c r="S38" s="200">
        <v>69692.6</v>
      </c>
      <c r="T38" s="197">
        <v>0</v>
      </c>
      <c r="U38" s="167">
        <v>0</v>
      </c>
      <c r="V38" s="197">
        <v>0</v>
      </c>
      <c r="W38" s="167">
        <f aca="true" t="shared" si="48" ref="W38:W43">IF(H38=0,0,V38*100/H38)</f>
        <v>0</v>
      </c>
      <c r="X38" s="197">
        <v>0</v>
      </c>
      <c r="Y38" s="167">
        <f aca="true" t="shared" si="49" ref="Y38:Y43">IF(J38=0,0,X38*100/J38)</f>
        <v>0</v>
      </c>
      <c r="Z38" s="197">
        <v>0</v>
      </c>
      <c r="AA38" s="167">
        <f aca="true" t="shared" si="50" ref="AA38:AA43">IF(K38=0,0,Z38*100/K38)</f>
        <v>0</v>
      </c>
      <c r="AB38" s="197">
        <v>0</v>
      </c>
      <c r="AC38" s="167">
        <f aca="true" t="shared" si="51" ref="AC38:AC43">IF(L38=0,0,AB38*100/L38)</f>
        <v>0</v>
      </c>
      <c r="AD38" s="197">
        <v>11472.6</v>
      </c>
      <c r="AE38" s="167">
        <f aca="true" t="shared" si="52" ref="AE38:AE43">IF(O38=0,0,AD38*100/O38)</f>
        <v>16.461719034732525</v>
      </c>
      <c r="AF38" s="197">
        <v>21487.1</v>
      </c>
      <c r="AG38" s="167">
        <f aca="true" t="shared" si="53" ref="AG38:AG43">IF(N38=0,0,AF38*100/N38)</f>
        <v>30.831250376654047</v>
      </c>
      <c r="AH38" s="197">
        <v>32709.7</v>
      </c>
      <c r="AI38" s="167">
        <f aca="true" t="shared" si="54" ref="AI38:AI43">IF(O38=0,0,AH38*100/O38)</f>
        <v>46.93425126914478</v>
      </c>
      <c r="AJ38" s="197">
        <v>29004.1</v>
      </c>
      <c r="AK38" s="167">
        <f aca="true" t="shared" si="55" ref="AK38:AK43">IF(P38=0,0,AJ38*100/P38)</f>
        <v>41.61718747758011</v>
      </c>
      <c r="AL38" s="197">
        <v>36576.5</v>
      </c>
      <c r="AM38" s="134">
        <f aca="true" t="shared" si="56" ref="AM38:AM43">IF(Q38=0,0,AL38*100/Q38)</f>
        <v>52.48261651882696</v>
      </c>
      <c r="AN38" s="198">
        <v>36473.9</v>
      </c>
      <c r="AO38" s="153">
        <f>AN38/I38*100</f>
        <v>52.33539859325093</v>
      </c>
      <c r="AP38" s="134">
        <f aca="true" t="shared" si="57" ref="AP38:AP43">IF(R38=0,0,AN38*100/R38)</f>
        <v>52.33539859325093</v>
      </c>
      <c r="AQ38" s="198">
        <v>60009.8</v>
      </c>
      <c r="AR38" s="154">
        <f>AQ38/I38*100</f>
        <v>86.10641588920488</v>
      </c>
      <c r="AS38" s="243">
        <f aca="true" t="shared" si="58" ref="AS38:AS43">IF(S38=0,0,AQ38*100/S38)</f>
        <v>86.10641588920487</v>
      </c>
      <c r="AT38" s="197">
        <v>62492.4</v>
      </c>
      <c r="AU38" s="129">
        <f>AT38*100/I38</f>
        <v>89.66863052892272</v>
      </c>
      <c r="AV38" s="101"/>
      <c r="AW38" s="180">
        <v>32892.3</v>
      </c>
      <c r="AX38" s="197">
        <v>25459</v>
      </c>
      <c r="AY38" s="167">
        <f aca="true" t="shared" si="59" ref="AY38:AY43">IF(AW38=0,0,AX38*100/AW38)</f>
        <v>77.40109387303411</v>
      </c>
      <c r="AZ38" s="101"/>
      <c r="BA38" s="103"/>
    </row>
    <row r="39" spans="1:53" s="102" customFormat="1" ht="51">
      <c r="A39" s="256"/>
      <c r="B39" s="256"/>
      <c r="C39" s="256"/>
      <c r="D39" s="256"/>
      <c r="E39" s="256"/>
      <c r="F39" s="145" t="s">
        <v>30</v>
      </c>
      <c r="G39" s="179">
        <v>230015</v>
      </c>
      <c r="H39" s="165">
        <v>230015</v>
      </c>
      <c r="I39" s="180">
        <v>223336</v>
      </c>
      <c r="J39" s="180">
        <v>223336</v>
      </c>
      <c r="K39" s="180">
        <v>223336</v>
      </c>
      <c r="L39" s="180">
        <v>223336</v>
      </c>
      <c r="M39" s="180">
        <v>223336</v>
      </c>
      <c r="N39" s="180">
        <v>223336</v>
      </c>
      <c r="O39" s="180">
        <v>223336</v>
      </c>
      <c r="P39" s="180">
        <v>223336</v>
      </c>
      <c r="Q39" s="180">
        <v>223336</v>
      </c>
      <c r="R39" s="180">
        <v>223336</v>
      </c>
      <c r="S39" s="200">
        <v>223336</v>
      </c>
      <c r="T39" s="165">
        <v>0</v>
      </c>
      <c r="U39" s="167">
        <f>SUM(T39/G39*100)</f>
        <v>0</v>
      </c>
      <c r="V39" s="165">
        <v>4245.099999999999</v>
      </c>
      <c r="W39" s="167">
        <f t="shared" si="48"/>
        <v>1.8455752885681367</v>
      </c>
      <c r="X39" s="165">
        <v>7135.9</v>
      </c>
      <c r="Y39" s="167">
        <f t="shared" si="49"/>
        <v>3.1951409535408533</v>
      </c>
      <c r="Z39" s="165">
        <v>15590.1</v>
      </c>
      <c r="AA39" s="167">
        <f t="shared" si="50"/>
        <v>6.98055844109324</v>
      </c>
      <c r="AB39" s="165">
        <v>19746.7</v>
      </c>
      <c r="AC39" s="167">
        <f t="shared" si="51"/>
        <v>8.841700397607193</v>
      </c>
      <c r="AD39" s="165">
        <v>32376.7</v>
      </c>
      <c r="AE39" s="167">
        <f t="shared" si="52"/>
        <v>14.496856753949206</v>
      </c>
      <c r="AF39" s="165">
        <v>41755.7</v>
      </c>
      <c r="AG39" s="167">
        <f t="shared" si="53"/>
        <v>18.696358849446572</v>
      </c>
      <c r="AH39" s="165">
        <v>49103.1</v>
      </c>
      <c r="AI39" s="167">
        <f t="shared" si="54"/>
        <v>21.986200164774154</v>
      </c>
      <c r="AJ39" s="165">
        <v>74513.9</v>
      </c>
      <c r="AK39" s="167">
        <f t="shared" si="55"/>
        <v>33.36403445929003</v>
      </c>
      <c r="AL39" s="165">
        <v>86283.3</v>
      </c>
      <c r="AM39" s="134">
        <f t="shared" si="56"/>
        <v>38.63385213310886</v>
      </c>
      <c r="AN39" s="166">
        <v>139490.1</v>
      </c>
      <c r="AO39" s="153">
        <f>AN39/I39*100</f>
        <v>62.457507970054095</v>
      </c>
      <c r="AP39" s="134">
        <f t="shared" si="57"/>
        <v>62.45750797005409</v>
      </c>
      <c r="AQ39" s="166">
        <v>221518.9</v>
      </c>
      <c r="AR39" s="154">
        <f>AQ39/I39*100</f>
        <v>99.18638284916</v>
      </c>
      <c r="AS39" s="243">
        <f t="shared" si="58"/>
        <v>99.18638284916001</v>
      </c>
      <c r="AT39" s="165">
        <v>223336</v>
      </c>
      <c r="AU39" s="129">
        <f>AT39*100/I39</f>
        <v>100</v>
      </c>
      <c r="AV39" s="101"/>
      <c r="AW39" s="130">
        <v>87327.4</v>
      </c>
      <c r="AX39" s="197">
        <v>87327</v>
      </c>
      <c r="AY39" s="167">
        <f t="shared" si="59"/>
        <v>99.99954195361364</v>
      </c>
      <c r="AZ39" s="101"/>
      <c r="BA39" s="103"/>
    </row>
    <row r="40" spans="1:53" s="102" customFormat="1" ht="63.75">
      <c r="A40" s="256"/>
      <c r="B40" s="256"/>
      <c r="C40" s="256"/>
      <c r="D40" s="256"/>
      <c r="E40" s="256"/>
      <c r="F40" s="145" t="s">
        <v>38</v>
      </c>
      <c r="G40" s="179">
        <v>0</v>
      </c>
      <c r="H40" s="165">
        <v>0</v>
      </c>
      <c r="I40" s="180">
        <v>0</v>
      </c>
      <c r="J40" s="180">
        <v>0</v>
      </c>
      <c r="K40" s="180">
        <v>0</v>
      </c>
      <c r="L40" s="180">
        <v>0</v>
      </c>
      <c r="M40" s="180">
        <v>0</v>
      </c>
      <c r="N40" s="180">
        <v>0</v>
      </c>
      <c r="O40" s="180">
        <v>0</v>
      </c>
      <c r="P40" s="180">
        <v>0</v>
      </c>
      <c r="Q40" s="180">
        <v>0</v>
      </c>
      <c r="R40" s="165">
        <v>0</v>
      </c>
      <c r="S40" s="166">
        <v>0</v>
      </c>
      <c r="T40" s="165">
        <v>0</v>
      </c>
      <c r="U40" s="167">
        <v>0</v>
      </c>
      <c r="V40" s="165">
        <v>0</v>
      </c>
      <c r="W40" s="167">
        <f t="shared" si="48"/>
        <v>0</v>
      </c>
      <c r="X40" s="165">
        <v>0</v>
      </c>
      <c r="Y40" s="167">
        <f t="shared" si="49"/>
        <v>0</v>
      </c>
      <c r="Z40" s="165">
        <v>0</v>
      </c>
      <c r="AA40" s="167">
        <f t="shared" si="50"/>
        <v>0</v>
      </c>
      <c r="AB40" s="165">
        <v>0</v>
      </c>
      <c r="AC40" s="167">
        <f t="shared" si="51"/>
        <v>0</v>
      </c>
      <c r="AD40" s="165">
        <v>0</v>
      </c>
      <c r="AE40" s="167">
        <f t="shared" si="52"/>
        <v>0</v>
      </c>
      <c r="AF40" s="165">
        <v>0</v>
      </c>
      <c r="AG40" s="167">
        <f t="shared" si="53"/>
        <v>0</v>
      </c>
      <c r="AH40" s="165">
        <v>0</v>
      </c>
      <c r="AI40" s="167">
        <f t="shared" si="54"/>
        <v>0</v>
      </c>
      <c r="AJ40" s="165">
        <v>0</v>
      </c>
      <c r="AK40" s="167">
        <f t="shared" si="55"/>
        <v>0</v>
      </c>
      <c r="AL40" s="165">
        <v>0</v>
      </c>
      <c r="AM40" s="134">
        <f t="shared" si="56"/>
        <v>0</v>
      </c>
      <c r="AN40" s="166">
        <v>0</v>
      </c>
      <c r="AO40" s="153">
        <v>0</v>
      </c>
      <c r="AP40" s="134">
        <f t="shared" si="57"/>
        <v>0</v>
      </c>
      <c r="AQ40" s="166">
        <v>0</v>
      </c>
      <c r="AR40" s="154">
        <v>0</v>
      </c>
      <c r="AS40" s="243">
        <f t="shared" si="58"/>
        <v>0</v>
      </c>
      <c r="AT40" s="165">
        <v>0</v>
      </c>
      <c r="AU40" s="292">
        <v>0</v>
      </c>
      <c r="AV40" s="101"/>
      <c r="AW40" s="130">
        <v>0</v>
      </c>
      <c r="AX40" s="130">
        <v>0</v>
      </c>
      <c r="AY40" s="167">
        <f t="shared" si="59"/>
        <v>0</v>
      </c>
      <c r="AZ40" s="101"/>
      <c r="BA40" s="103"/>
    </row>
    <row r="41" spans="1:53" s="102" customFormat="1" ht="51">
      <c r="A41" s="256"/>
      <c r="B41" s="256"/>
      <c r="C41" s="256"/>
      <c r="D41" s="256"/>
      <c r="E41" s="256"/>
      <c r="F41" s="145" t="s">
        <v>23</v>
      </c>
      <c r="G41" s="179">
        <v>0</v>
      </c>
      <c r="H41" s="164">
        <v>0</v>
      </c>
      <c r="I41" s="180">
        <v>0</v>
      </c>
      <c r="J41" s="180">
        <v>0</v>
      </c>
      <c r="K41" s="180">
        <v>0</v>
      </c>
      <c r="L41" s="180">
        <v>0</v>
      </c>
      <c r="M41" s="180">
        <v>0</v>
      </c>
      <c r="N41" s="180">
        <v>0</v>
      </c>
      <c r="O41" s="180">
        <v>0</v>
      </c>
      <c r="P41" s="180">
        <v>0</v>
      </c>
      <c r="Q41" s="180">
        <v>0</v>
      </c>
      <c r="R41" s="165">
        <v>0</v>
      </c>
      <c r="S41" s="166">
        <v>0</v>
      </c>
      <c r="T41" s="165">
        <v>0</v>
      </c>
      <c r="U41" s="167">
        <v>0</v>
      </c>
      <c r="V41" s="165">
        <v>0</v>
      </c>
      <c r="W41" s="167">
        <f t="shared" si="48"/>
        <v>0</v>
      </c>
      <c r="X41" s="165">
        <v>0</v>
      </c>
      <c r="Y41" s="167">
        <f t="shared" si="49"/>
        <v>0</v>
      </c>
      <c r="Z41" s="165">
        <v>0</v>
      </c>
      <c r="AA41" s="167">
        <f t="shared" si="50"/>
        <v>0</v>
      </c>
      <c r="AB41" s="165">
        <v>0</v>
      </c>
      <c r="AC41" s="167">
        <f t="shared" si="51"/>
        <v>0</v>
      </c>
      <c r="AD41" s="165">
        <v>0</v>
      </c>
      <c r="AE41" s="167">
        <f t="shared" si="52"/>
        <v>0</v>
      </c>
      <c r="AF41" s="165">
        <v>0</v>
      </c>
      <c r="AG41" s="167">
        <f t="shared" si="53"/>
        <v>0</v>
      </c>
      <c r="AH41" s="165">
        <v>0</v>
      </c>
      <c r="AI41" s="167">
        <f t="shared" si="54"/>
        <v>0</v>
      </c>
      <c r="AJ41" s="165">
        <v>0</v>
      </c>
      <c r="AK41" s="167">
        <f t="shared" si="55"/>
        <v>0</v>
      </c>
      <c r="AL41" s="165">
        <v>0</v>
      </c>
      <c r="AM41" s="134">
        <f t="shared" si="56"/>
        <v>0</v>
      </c>
      <c r="AN41" s="166">
        <v>0</v>
      </c>
      <c r="AO41" s="153">
        <v>0</v>
      </c>
      <c r="AP41" s="134">
        <f t="shared" si="57"/>
        <v>0</v>
      </c>
      <c r="AQ41" s="166">
        <v>0</v>
      </c>
      <c r="AR41" s="154">
        <v>0</v>
      </c>
      <c r="AS41" s="243">
        <f t="shared" si="58"/>
        <v>0</v>
      </c>
      <c r="AT41" s="165">
        <v>0</v>
      </c>
      <c r="AU41" s="292">
        <v>0</v>
      </c>
      <c r="AV41" s="101"/>
      <c r="AW41" s="130">
        <v>0</v>
      </c>
      <c r="AX41" s="130">
        <v>0</v>
      </c>
      <c r="AY41" s="167">
        <f t="shared" si="59"/>
        <v>0</v>
      </c>
      <c r="AZ41" s="101"/>
      <c r="BA41" s="103"/>
    </row>
    <row r="42" spans="1:53" s="102" customFormat="1" ht="38.25">
      <c r="A42" s="256"/>
      <c r="B42" s="256"/>
      <c r="C42" s="256"/>
      <c r="D42" s="256"/>
      <c r="E42" s="256"/>
      <c r="F42" s="145" t="s">
        <v>44</v>
      </c>
      <c r="G42" s="179">
        <v>0</v>
      </c>
      <c r="H42" s="165">
        <v>0</v>
      </c>
      <c r="I42" s="180">
        <v>0</v>
      </c>
      <c r="J42" s="180">
        <v>0</v>
      </c>
      <c r="K42" s="180">
        <v>0</v>
      </c>
      <c r="L42" s="180">
        <v>0</v>
      </c>
      <c r="M42" s="180">
        <v>0</v>
      </c>
      <c r="N42" s="180">
        <v>0</v>
      </c>
      <c r="O42" s="180">
        <v>0</v>
      </c>
      <c r="P42" s="180">
        <v>0</v>
      </c>
      <c r="Q42" s="180">
        <v>0</v>
      </c>
      <c r="R42" s="165">
        <v>0</v>
      </c>
      <c r="S42" s="166">
        <v>0</v>
      </c>
      <c r="T42" s="165">
        <v>0</v>
      </c>
      <c r="U42" s="167">
        <v>0</v>
      </c>
      <c r="V42" s="165">
        <v>0</v>
      </c>
      <c r="W42" s="167">
        <f t="shared" si="48"/>
        <v>0</v>
      </c>
      <c r="X42" s="165">
        <v>0</v>
      </c>
      <c r="Y42" s="167">
        <f t="shared" si="49"/>
        <v>0</v>
      </c>
      <c r="Z42" s="165">
        <v>0</v>
      </c>
      <c r="AA42" s="167">
        <f t="shared" si="50"/>
        <v>0</v>
      </c>
      <c r="AB42" s="165">
        <v>0</v>
      </c>
      <c r="AC42" s="167">
        <f t="shared" si="51"/>
        <v>0</v>
      </c>
      <c r="AD42" s="165">
        <v>0</v>
      </c>
      <c r="AE42" s="167">
        <f t="shared" si="52"/>
        <v>0</v>
      </c>
      <c r="AF42" s="165">
        <v>0</v>
      </c>
      <c r="AG42" s="167">
        <f t="shared" si="53"/>
        <v>0</v>
      </c>
      <c r="AH42" s="165">
        <v>0</v>
      </c>
      <c r="AI42" s="167">
        <f t="shared" si="54"/>
        <v>0</v>
      </c>
      <c r="AJ42" s="165">
        <v>0</v>
      </c>
      <c r="AK42" s="167">
        <f t="shared" si="55"/>
        <v>0</v>
      </c>
      <c r="AL42" s="165">
        <v>0</v>
      </c>
      <c r="AM42" s="134">
        <f t="shared" si="56"/>
        <v>0</v>
      </c>
      <c r="AN42" s="166">
        <v>0</v>
      </c>
      <c r="AO42" s="153">
        <v>0</v>
      </c>
      <c r="AP42" s="134">
        <f t="shared" si="57"/>
        <v>0</v>
      </c>
      <c r="AQ42" s="166">
        <v>0</v>
      </c>
      <c r="AR42" s="154">
        <v>0</v>
      </c>
      <c r="AS42" s="243">
        <f t="shared" si="58"/>
        <v>0</v>
      </c>
      <c r="AT42" s="165">
        <v>0</v>
      </c>
      <c r="AU42" s="292">
        <v>0</v>
      </c>
      <c r="AV42" s="101"/>
      <c r="AW42" s="130">
        <v>0</v>
      </c>
      <c r="AX42" s="130">
        <v>0</v>
      </c>
      <c r="AY42" s="167">
        <f t="shared" si="59"/>
        <v>0</v>
      </c>
      <c r="AZ42" s="101"/>
      <c r="BA42" s="103"/>
    </row>
    <row r="43" spans="1:53" s="102" customFormat="1" ht="409.5">
      <c r="A43" s="124" t="s">
        <v>47</v>
      </c>
      <c r="B43" s="124">
        <v>5</v>
      </c>
      <c r="C43" s="145" t="s">
        <v>61</v>
      </c>
      <c r="D43" s="201" t="s">
        <v>189</v>
      </c>
      <c r="E43" s="124" t="s">
        <v>8</v>
      </c>
      <c r="F43" s="128" t="s">
        <v>26</v>
      </c>
      <c r="G43" s="149">
        <f aca="true" t="shared" si="60" ref="G43:R43">SUM(G45:G50)</f>
        <v>2579320.4000000004</v>
      </c>
      <c r="H43" s="149">
        <f t="shared" si="60"/>
        <v>2579320.4000000004</v>
      </c>
      <c r="I43" s="149">
        <f t="shared" si="60"/>
        <v>3872554.2</v>
      </c>
      <c r="J43" s="149">
        <f t="shared" si="60"/>
        <v>2582250.8000000003</v>
      </c>
      <c r="K43" s="149">
        <f t="shared" si="60"/>
        <v>2582250.8000000003</v>
      </c>
      <c r="L43" s="149">
        <f t="shared" si="60"/>
        <v>2582250.8000000003</v>
      </c>
      <c r="M43" s="149">
        <f t="shared" si="60"/>
        <v>2587039.2</v>
      </c>
      <c r="N43" s="149">
        <f t="shared" si="60"/>
        <v>2587039.2</v>
      </c>
      <c r="O43" s="149">
        <f t="shared" si="60"/>
        <v>2587039.2</v>
      </c>
      <c r="P43" s="149">
        <f t="shared" si="60"/>
        <v>2587039.2</v>
      </c>
      <c r="Q43" s="149">
        <f t="shared" si="60"/>
        <v>3903640.5000000005</v>
      </c>
      <c r="R43" s="149">
        <f t="shared" si="60"/>
        <v>3903640.5000000005</v>
      </c>
      <c r="S43" s="152">
        <f>SUM(S45+S46+S47+S49+S50)</f>
        <v>3912643.4</v>
      </c>
      <c r="T43" s="149">
        <f>SUM(T45:T50)</f>
        <v>58646</v>
      </c>
      <c r="U43" s="150">
        <f>SUM(T43/G43*100)</f>
        <v>2.2736996923685786</v>
      </c>
      <c r="V43" s="149">
        <f>SUM(V45:V50)</f>
        <v>195546.9</v>
      </c>
      <c r="W43" s="150">
        <f t="shared" si="48"/>
        <v>7.581334215012604</v>
      </c>
      <c r="X43" s="149">
        <f>SUM(X45:X50)</f>
        <v>358867.4</v>
      </c>
      <c r="Y43" s="150">
        <f t="shared" si="49"/>
        <v>13.897464955766495</v>
      </c>
      <c r="Z43" s="149">
        <f>SUM(Z45:Z50)</f>
        <v>594863.6000000001</v>
      </c>
      <c r="AA43" s="150">
        <f t="shared" si="50"/>
        <v>23.03663145345913</v>
      </c>
      <c r="AB43" s="149">
        <f>SUM(AB45:AB50)</f>
        <v>777886</v>
      </c>
      <c r="AC43" s="150">
        <f t="shared" si="51"/>
        <v>30.124339587773576</v>
      </c>
      <c r="AD43" s="149">
        <f>SUM(AD45:AD50)</f>
        <v>1088028.4</v>
      </c>
      <c r="AE43" s="151">
        <f t="shared" si="52"/>
        <v>42.056896547992</v>
      </c>
      <c r="AF43" s="149">
        <f>SUM(AF45:AF50)</f>
        <v>1330816.2</v>
      </c>
      <c r="AG43" s="150">
        <f t="shared" si="53"/>
        <v>51.441671235596274</v>
      </c>
      <c r="AH43" s="149">
        <f>SUM(AH45:AH50)</f>
        <v>1526410.8000000003</v>
      </c>
      <c r="AI43" s="150">
        <f t="shared" si="54"/>
        <v>59.00222926656852</v>
      </c>
      <c r="AJ43" s="149">
        <f>SUM(AJ45:AJ50)</f>
        <v>1677802.9000000001</v>
      </c>
      <c r="AK43" s="150">
        <f t="shared" si="55"/>
        <v>64.85417383702574</v>
      </c>
      <c r="AL43" s="149">
        <f>SUM(AL45:AL50)</f>
        <v>1890928.5999999999</v>
      </c>
      <c r="AM43" s="150">
        <f t="shared" si="56"/>
        <v>48.44013171807188</v>
      </c>
      <c r="AN43" s="152">
        <f>SUM(AN45+AN46+AN47+AN49+AN50)</f>
        <v>2043548.4000000001</v>
      </c>
      <c r="AO43" s="153">
        <f>AN43/I43*100</f>
        <v>52.770039990660436</v>
      </c>
      <c r="AP43" s="150">
        <f t="shared" si="57"/>
        <v>52.34981038853347</v>
      </c>
      <c r="AQ43" s="152">
        <f>SUM(AQ45+AQ46+AQ47+AQ49+AQ50)</f>
        <v>3826999.7</v>
      </c>
      <c r="AR43" s="154">
        <f>AQ43/I43*100</f>
        <v>98.82365752298573</v>
      </c>
      <c r="AS43" s="189">
        <f t="shared" si="58"/>
        <v>97.81110386906202</v>
      </c>
      <c r="AT43" s="190">
        <f>SUM(AT45:AT50)</f>
        <v>3832960.8000000003</v>
      </c>
      <c r="AU43" s="129">
        <f>AT43*100/I43</f>
        <v>98.97758951959923</v>
      </c>
      <c r="AV43" s="215" t="s">
        <v>223</v>
      </c>
      <c r="AW43" s="202">
        <f>SUM(AW45+AW46+AW47+AW49+AW50)</f>
        <v>1510751.2</v>
      </c>
      <c r="AX43" s="203">
        <f>SUM(AX45+AX46+AX47+AX49+AX50)</f>
        <v>1508472.1</v>
      </c>
      <c r="AY43" s="134">
        <f t="shared" si="59"/>
        <v>99.84914127488365</v>
      </c>
      <c r="AZ43" s="204"/>
      <c r="BA43" s="103">
        <f aca="true" t="shared" si="61" ref="BA43:BA50">SUM(AX43+AN43)</f>
        <v>3552020.5</v>
      </c>
    </row>
    <row r="44" spans="1:53" s="102" customFormat="1" ht="25.5">
      <c r="A44" s="256"/>
      <c r="B44" s="256"/>
      <c r="C44" s="256"/>
      <c r="D44" s="256"/>
      <c r="E44" s="256"/>
      <c r="F44" s="136" t="s">
        <v>29</v>
      </c>
      <c r="G44" s="137"/>
      <c r="H44" s="137"/>
      <c r="I44" s="137"/>
      <c r="J44" s="137"/>
      <c r="K44" s="137"/>
      <c r="L44" s="137"/>
      <c r="M44" s="137"/>
      <c r="N44" s="137"/>
      <c r="O44" s="137"/>
      <c r="P44" s="137"/>
      <c r="Q44" s="137"/>
      <c r="R44" s="137"/>
      <c r="S44" s="139"/>
      <c r="T44" s="137"/>
      <c r="U44" s="137"/>
      <c r="V44" s="137"/>
      <c r="W44" s="137"/>
      <c r="X44" s="137"/>
      <c r="Y44" s="137"/>
      <c r="Z44" s="137"/>
      <c r="AA44" s="137"/>
      <c r="AB44" s="137"/>
      <c r="AC44" s="137"/>
      <c r="AD44" s="137"/>
      <c r="AE44" s="138"/>
      <c r="AF44" s="137"/>
      <c r="AG44" s="137"/>
      <c r="AH44" s="137"/>
      <c r="AI44" s="137"/>
      <c r="AJ44" s="137"/>
      <c r="AK44" s="137"/>
      <c r="AL44" s="137"/>
      <c r="AM44" s="137"/>
      <c r="AN44" s="139"/>
      <c r="AO44" s="138"/>
      <c r="AP44" s="137"/>
      <c r="AQ44" s="139"/>
      <c r="AR44" s="140"/>
      <c r="AS44" s="139"/>
      <c r="AT44" s="142"/>
      <c r="AU44" s="143"/>
      <c r="AV44" s="101"/>
      <c r="AW44" s="206"/>
      <c r="AX44" s="207"/>
      <c r="AY44" s="193"/>
      <c r="AZ44" s="101"/>
      <c r="BA44" s="103">
        <f t="shared" si="61"/>
        <v>0</v>
      </c>
    </row>
    <row r="45" spans="1:53" s="102" customFormat="1" ht="38.25">
      <c r="A45" s="256"/>
      <c r="B45" s="256"/>
      <c r="C45" s="256"/>
      <c r="D45" s="256"/>
      <c r="E45" s="256"/>
      <c r="F45" s="144" t="s">
        <v>27</v>
      </c>
      <c r="G45" s="179">
        <v>0</v>
      </c>
      <c r="H45" s="179">
        <v>0</v>
      </c>
      <c r="I45" s="180">
        <v>13022.7</v>
      </c>
      <c r="J45" s="180">
        <v>0</v>
      </c>
      <c r="K45" s="180">
        <v>0</v>
      </c>
      <c r="L45" s="180">
        <v>0</v>
      </c>
      <c r="M45" s="180">
        <v>4788.4</v>
      </c>
      <c r="N45" s="180">
        <v>4788.4</v>
      </c>
      <c r="O45" s="180">
        <f>N45</f>
        <v>4788.4</v>
      </c>
      <c r="P45" s="197">
        <v>4788.4</v>
      </c>
      <c r="Q45" s="197">
        <v>13022.7</v>
      </c>
      <c r="R45" s="197">
        <v>13022.7</v>
      </c>
      <c r="S45" s="198">
        <v>13022.7</v>
      </c>
      <c r="T45" s="197">
        <v>0</v>
      </c>
      <c r="U45" s="167">
        <v>0</v>
      </c>
      <c r="V45" s="197">
        <v>0</v>
      </c>
      <c r="W45" s="167">
        <f>IF(H45=0,0,V45*100/H45)</f>
        <v>0</v>
      </c>
      <c r="X45" s="197">
        <v>0</v>
      </c>
      <c r="Y45" s="167">
        <f>IF(J45=0,0,X45*100/J45)</f>
        <v>0</v>
      </c>
      <c r="Z45" s="197">
        <v>4188.4</v>
      </c>
      <c r="AA45" s="167">
        <f>IF(K45=0,0,Z45*100/K45)</f>
        <v>0</v>
      </c>
      <c r="AB45" s="197">
        <v>4188.4</v>
      </c>
      <c r="AC45" s="167">
        <f>IF(L45=0,0,AB45*100/L45)</f>
        <v>0</v>
      </c>
      <c r="AD45" s="197">
        <v>4788.4</v>
      </c>
      <c r="AE45" s="167">
        <f>IF(O45=0,0,AD45*100/O45)</f>
        <v>100</v>
      </c>
      <c r="AF45" s="197">
        <v>4788.4</v>
      </c>
      <c r="AG45" s="167">
        <f>IF(N45=0,0,AF45*100/N45)</f>
        <v>100</v>
      </c>
      <c r="AH45" s="197">
        <v>600</v>
      </c>
      <c r="AI45" s="167">
        <f>IF(O45=0,0,AH45*100/O45)</f>
        <v>12.530281513658007</v>
      </c>
      <c r="AJ45" s="197">
        <v>616.9</v>
      </c>
      <c r="AK45" s="167">
        <f>IF(P45=0,0,AJ45*100/P45)</f>
        <v>12.883217776292708</v>
      </c>
      <c r="AL45" s="197">
        <v>622.5</v>
      </c>
      <c r="AM45" s="134">
        <f>IF(Q45=0,0,AL45*100/Q45)</f>
        <v>4.780114722753346</v>
      </c>
      <c r="AN45" s="198">
        <v>622.6</v>
      </c>
      <c r="AO45" s="153">
        <f>AN45/I45*100</f>
        <v>4.780882612668648</v>
      </c>
      <c r="AP45" s="134">
        <f aca="true" t="shared" si="62" ref="AP45:AP51">IF(R45=0,0,AN45*100/R45)</f>
        <v>4.7808826126686474</v>
      </c>
      <c r="AQ45" s="198">
        <v>13022.6</v>
      </c>
      <c r="AR45" s="154">
        <f>AQ45/I45*100</f>
        <v>99.99923211008469</v>
      </c>
      <c r="AS45" s="243">
        <f aca="true" t="shared" si="63" ref="AS45:AS51">IF(S45=0,0,AQ45*100/S45)</f>
        <v>99.99923211008469</v>
      </c>
      <c r="AT45" s="197">
        <v>13022.7</v>
      </c>
      <c r="AU45" s="129">
        <f>AT45*100/I45</f>
        <v>100</v>
      </c>
      <c r="AV45" s="101"/>
      <c r="AW45" s="208">
        <v>12400.2</v>
      </c>
      <c r="AX45" s="209">
        <v>12400</v>
      </c>
      <c r="AY45" s="167">
        <f aca="true" t="shared" si="64" ref="AY45:AY51">IF(AW45=0,0,AX45*100/AW45)</f>
        <v>99.99838712278833</v>
      </c>
      <c r="AZ45" s="101"/>
      <c r="BA45" s="103">
        <f t="shared" si="61"/>
        <v>13022.6</v>
      </c>
    </row>
    <row r="46" spans="1:53" s="102" customFormat="1" ht="51">
      <c r="A46" s="256"/>
      <c r="B46" s="256"/>
      <c r="C46" s="256"/>
      <c r="D46" s="256"/>
      <c r="E46" s="256"/>
      <c r="F46" s="145" t="s">
        <v>30</v>
      </c>
      <c r="G46" s="179">
        <v>2421478.2</v>
      </c>
      <c r="H46" s="179">
        <v>2421478.2</v>
      </c>
      <c r="I46" s="180">
        <v>2407864.3</v>
      </c>
      <c r="J46" s="180">
        <v>2421478.2</v>
      </c>
      <c r="K46" s="180">
        <v>2421478.2</v>
      </c>
      <c r="L46" s="180">
        <v>2421478.2</v>
      </c>
      <c r="M46" s="180">
        <v>2421478.2</v>
      </c>
      <c r="N46" s="180">
        <v>2421478.2</v>
      </c>
      <c r="O46" s="130">
        <f>N46</f>
        <v>2421478.2</v>
      </c>
      <c r="P46" s="165">
        <v>2421478.2</v>
      </c>
      <c r="Q46" s="165">
        <v>2438950.6</v>
      </c>
      <c r="R46" s="165">
        <v>2438950.6</v>
      </c>
      <c r="S46" s="166">
        <v>2446170.4</v>
      </c>
      <c r="T46" s="165">
        <v>58646</v>
      </c>
      <c r="U46" s="167">
        <f>SUM(T46/G46*100)</f>
        <v>2.421909063645504</v>
      </c>
      <c r="V46" s="165">
        <v>195546.9</v>
      </c>
      <c r="W46" s="167">
        <f>IF(H46=0,0,V46*100/H46)</f>
        <v>8.07551767346078</v>
      </c>
      <c r="X46" s="165">
        <v>355984.9</v>
      </c>
      <c r="Y46" s="167">
        <f>IF(J46=0,0,X46*100/J46)</f>
        <v>14.701139989614607</v>
      </c>
      <c r="Z46" s="165">
        <v>587653.3</v>
      </c>
      <c r="AA46" s="167">
        <f>IF(K46=0,0,Z46*100/K46)</f>
        <v>24.268370452395565</v>
      </c>
      <c r="AB46" s="165">
        <v>769409.6</v>
      </c>
      <c r="AC46" s="167">
        <f>IF(L46=0,0,AB46*100/L46)</f>
        <v>31.774376494490017</v>
      </c>
      <c r="AD46" s="165">
        <v>1074184.7</v>
      </c>
      <c r="AE46" s="167">
        <f>IF(O46=0,0,AD46*100/O46)</f>
        <v>44.360700831417766</v>
      </c>
      <c r="AF46" s="165">
        <v>1312392.8</v>
      </c>
      <c r="AG46" s="167">
        <f>IF(N46=0,0,AF46*100/N46)</f>
        <v>54.19800186514171</v>
      </c>
      <c r="AH46" s="165">
        <v>1424736.6</v>
      </c>
      <c r="AI46" s="167">
        <f>IF(O46=0,0,AH46*100/O46)</f>
        <v>58.837473738148866</v>
      </c>
      <c r="AJ46" s="165">
        <v>1573670.9000000001</v>
      </c>
      <c r="AK46" s="167">
        <f>IF(P46=0,0,AJ46*100/P46)</f>
        <v>64.98802673507447</v>
      </c>
      <c r="AL46" s="165">
        <v>1761360.9</v>
      </c>
      <c r="AM46" s="134">
        <f>IF(Q46=0,0,AL46*100/Q46)</f>
        <v>72.21798178282086</v>
      </c>
      <c r="AN46" s="166">
        <v>1898957.6</v>
      </c>
      <c r="AO46" s="153">
        <f>AN46/I46*100</f>
        <v>78.86480978184693</v>
      </c>
      <c r="AP46" s="134">
        <f t="shared" si="62"/>
        <v>77.8596171648577</v>
      </c>
      <c r="AQ46" s="166">
        <v>2362039</v>
      </c>
      <c r="AR46" s="154">
        <f>AQ46/I46*100</f>
        <v>98.09684873022123</v>
      </c>
      <c r="AS46" s="243">
        <f t="shared" si="63"/>
        <v>96.56068931256793</v>
      </c>
      <c r="AT46" s="165">
        <v>2398000</v>
      </c>
      <c r="AU46" s="129">
        <f>AT46*100/I46</f>
        <v>99.59032990355811</v>
      </c>
      <c r="AV46" s="101"/>
      <c r="AW46" s="210">
        <v>198319</v>
      </c>
      <c r="AX46" s="211">
        <v>197552.3</v>
      </c>
      <c r="AY46" s="167">
        <f t="shared" si="64"/>
        <v>99.61340063231461</v>
      </c>
      <c r="AZ46" s="101"/>
      <c r="BA46" s="103">
        <f t="shared" si="61"/>
        <v>2096509.9000000001</v>
      </c>
    </row>
    <row r="47" spans="1:53" s="102" customFormat="1" ht="63.75">
      <c r="A47" s="256"/>
      <c r="B47" s="256"/>
      <c r="C47" s="256"/>
      <c r="D47" s="256"/>
      <c r="E47" s="256"/>
      <c r="F47" s="145" t="s">
        <v>38</v>
      </c>
      <c r="G47" s="179">
        <v>30965.2</v>
      </c>
      <c r="H47" s="179">
        <v>30965.2</v>
      </c>
      <c r="I47" s="180">
        <v>185994.2</v>
      </c>
      <c r="J47" s="180">
        <v>33895.6</v>
      </c>
      <c r="K47" s="180">
        <v>33895.6</v>
      </c>
      <c r="L47" s="180">
        <v>33895.6</v>
      </c>
      <c r="M47" s="180">
        <v>33895.6</v>
      </c>
      <c r="N47" s="180">
        <v>33895.6</v>
      </c>
      <c r="O47" s="130">
        <f>N47</f>
        <v>33895.6</v>
      </c>
      <c r="P47" s="165">
        <v>33895.6</v>
      </c>
      <c r="Q47" s="165">
        <v>185994.2</v>
      </c>
      <c r="R47" s="165">
        <v>185994.2</v>
      </c>
      <c r="S47" s="166">
        <v>187777.3</v>
      </c>
      <c r="T47" s="165">
        <v>0</v>
      </c>
      <c r="U47" s="167">
        <f>SUM(T47/G47*100)</f>
        <v>0</v>
      </c>
      <c r="V47" s="165">
        <v>0</v>
      </c>
      <c r="W47" s="167">
        <f>IF(H47=0,0,V47*100/H47)</f>
        <v>0</v>
      </c>
      <c r="X47" s="165">
        <v>2882.5</v>
      </c>
      <c r="Y47" s="167">
        <f>IF(J47=0,0,X47*100/J47)</f>
        <v>8.504053623479154</v>
      </c>
      <c r="Z47" s="165">
        <v>3021.9</v>
      </c>
      <c r="AA47" s="167">
        <f>IF(K47=0,0,Z47*100/K47)</f>
        <v>8.915316442252092</v>
      </c>
      <c r="AB47" s="165">
        <v>4288</v>
      </c>
      <c r="AC47" s="167">
        <f>IF(L47=0,0,AB47*100/L47)</f>
        <v>12.650609518639587</v>
      </c>
      <c r="AD47" s="165">
        <v>9055.3</v>
      </c>
      <c r="AE47" s="167">
        <f>IF(O47=0,0,AD47*100/O47)</f>
        <v>26.715266878296887</v>
      </c>
      <c r="AF47" s="165">
        <v>13635</v>
      </c>
      <c r="AG47" s="167">
        <f>IF(N47=0,0,AF47*100/N47)</f>
        <v>40.226460071513706</v>
      </c>
      <c r="AH47" s="165">
        <v>14448.6</v>
      </c>
      <c r="AI47" s="167">
        <f>IF(O47=0,0,AH47*100/O47)</f>
        <v>42.62677161637499</v>
      </c>
      <c r="AJ47" s="165">
        <v>16889.5</v>
      </c>
      <c r="AK47" s="167">
        <f>IF(P47=0,0,AJ47*100/P47)</f>
        <v>49.82800127450171</v>
      </c>
      <c r="AL47" s="165">
        <v>19217.2</v>
      </c>
      <c r="AM47" s="134">
        <f>IF(Q47=0,0,AL47*100/Q47)</f>
        <v>10.332150142316266</v>
      </c>
      <c r="AN47" s="166">
        <v>25671.3</v>
      </c>
      <c r="AO47" s="153">
        <f>AN47/I47*100</f>
        <v>13.80220458487415</v>
      </c>
      <c r="AP47" s="134">
        <f t="shared" si="62"/>
        <v>13.80220458487415</v>
      </c>
      <c r="AQ47" s="166">
        <v>186265.1</v>
      </c>
      <c r="AR47" s="154">
        <f>AQ47/I47*100</f>
        <v>100.14564970305526</v>
      </c>
      <c r="AS47" s="243">
        <f t="shared" si="63"/>
        <v>99.19468434150454</v>
      </c>
      <c r="AT47" s="165">
        <v>156265.1</v>
      </c>
      <c r="AU47" s="129">
        <f>AT47*100/I47</f>
        <v>84.01611448098919</v>
      </c>
      <c r="AV47" s="101"/>
      <c r="AW47" s="210">
        <v>162106</v>
      </c>
      <c r="AX47" s="211">
        <v>160593.8</v>
      </c>
      <c r="AY47" s="167">
        <f t="shared" si="64"/>
        <v>99.06715359086029</v>
      </c>
      <c r="AZ47" s="101"/>
      <c r="BA47" s="103">
        <f t="shared" si="61"/>
        <v>186265.09999999998</v>
      </c>
    </row>
    <row r="48" spans="1:53" s="102" customFormat="1" ht="216.75">
      <c r="A48" s="256"/>
      <c r="B48" s="256"/>
      <c r="C48" s="256"/>
      <c r="D48" s="256"/>
      <c r="E48" s="256"/>
      <c r="F48" s="145" t="s">
        <v>230</v>
      </c>
      <c r="G48" s="179"/>
      <c r="H48" s="179"/>
      <c r="I48" s="180">
        <v>0</v>
      </c>
      <c r="J48" s="180"/>
      <c r="K48" s="180"/>
      <c r="L48" s="180"/>
      <c r="M48" s="180"/>
      <c r="N48" s="180"/>
      <c r="O48" s="130"/>
      <c r="P48" s="165"/>
      <c r="Q48" s="165"/>
      <c r="R48" s="165">
        <v>0</v>
      </c>
      <c r="S48" s="166">
        <v>75000</v>
      </c>
      <c r="T48" s="165"/>
      <c r="U48" s="167"/>
      <c r="V48" s="165"/>
      <c r="W48" s="167"/>
      <c r="X48" s="165"/>
      <c r="Y48" s="167"/>
      <c r="Z48" s="165"/>
      <c r="AA48" s="167"/>
      <c r="AB48" s="165"/>
      <c r="AC48" s="167"/>
      <c r="AD48" s="165"/>
      <c r="AE48" s="167"/>
      <c r="AF48" s="165"/>
      <c r="AG48" s="167"/>
      <c r="AH48" s="165"/>
      <c r="AI48" s="167"/>
      <c r="AJ48" s="165"/>
      <c r="AK48" s="167"/>
      <c r="AL48" s="165"/>
      <c r="AM48" s="134"/>
      <c r="AN48" s="166">
        <v>0</v>
      </c>
      <c r="AO48" s="153">
        <v>0</v>
      </c>
      <c r="AP48" s="134">
        <f t="shared" si="62"/>
        <v>0</v>
      </c>
      <c r="AQ48" s="166">
        <v>75000</v>
      </c>
      <c r="AR48" s="154">
        <v>0</v>
      </c>
      <c r="AS48" s="243">
        <f t="shared" si="63"/>
        <v>100</v>
      </c>
      <c r="AT48" s="165"/>
      <c r="AU48" s="292"/>
      <c r="AV48" s="101"/>
      <c r="AW48" s="210">
        <v>75000</v>
      </c>
      <c r="AX48" s="211">
        <v>75000</v>
      </c>
      <c r="AY48" s="167">
        <f t="shared" si="64"/>
        <v>100</v>
      </c>
      <c r="AZ48" s="101"/>
      <c r="BA48" s="103">
        <f t="shared" si="61"/>
        <v>75000</v>
      </c>
    </row>
    <row r="49" spans="1:53" s="102" customFormat="1" ht="51">
      <c r="A49" s="256"/>
      <c r="B49" s="256"/>
      <c r="C49" s="256"/>
      <c r="D49" s="256"/>
      <c r="E49" s="256"/>
      <c r="F49" s="145" t="s">
        <v>23</v>
      </c>
      <c r="G49" s="179">
        <v>0</v>
      </c>
      <c r="H49" s="179">
        <v>0</v>
      </c>
      <c r="I49" s="180">
        <v>0</v>
      </c>
      <c r="J49" s="180">
        <v>0</v>
      </c>
      <c r="K49" s="180">
        <v>0</v>
      </c>
      <c r="L49" s="180">
        <v>0</v>
      </c>
      <c r="M49" s="180">
        <v>0</v>
      </c>
      <c r="N49" s="180">
        <v>0</v>
      </c>
      <c r="O49" s="130">
        <f>N49</f>
        <v>0</v>
      </c>
      <c r="P49" s="165">
        <v>0</v>
      </c>
      <c r="Q49" s="165">
        <v>0</v>
      </c>
      <c r="R49" s="165">
        <v>0</v>
      </c>
      <c r="S49" s="166">
        <v>0</v>
      </c>
      <c r="T49" s="165">
        <v>0</v>
      </c>
      <c r="U49" s="167">
        <v>0</v>
      </c>
      <c r="V49" s="165">
        <v>0</v>
      </c>
      <c r="W49" s="167">
        <f>IF(H49=0,0,V49*100/H49)</f>
        <v>0</v>
      </c>
      <c r="X49" s="165">
        <v>0</v>
      </c>
      <c r="Y49" s="167">
        <f>IF(J49=0,0,X49*100/J49)</f>
        <v>0</v>
      </c>
      <c r="Z49" s="165">
        <v>0</v>
      </c>
      <c r="AA49" s="167">
        <f>IF(K49=0,0,Z49*100/K49)</f>
        <v>0</v>
      </c>
      <c r="AB49" s="165">
        <v>0</v>
      </c>
      <c r="AC49" s="167">
        <f>IF(L49=0,0,AB49*100/L49)</f>
        <v>0</v>
      </c>
      <c r="AD49" s="165">
        <v>0</v>
      </c>
      <c r="AE49" s="167">
        <f>IF(O49=0,0,AD49*100/O49)</f>
        <v>0</v>
      </c>
      <c r="AF49" s="165">
        <v>0</v>
      </c>
      <c r="AG49" s="167">
        <f>IF(N49=0,0,AF49*100/N49)</f>
        <v>0</v>
      </c>
      <c r="AH49" s="165">
        <v>0</v>
      </c>
      <c r="AI49" s="167">
        <f>IF(O49=0,0,AH49*100/O49)</f>
        <v>0</v>
      </c>
      <c r="AJ49" s="165">
        <v>0</v>
      </c>
      <c r="AK49" s="167">
        <f>IF(P49=0,0,AJ49*100/P49)</f>
        <v>0</v>
      </c>
      <c r="AL49" s="165">
        <v>0</v>
      </c>
      <c r="AM49" s="134">
        <f>IF(Q49=0,0,AL49*100/Q49)</f>
        <v>0</v>
      </c>
      <c r="AN49" s="166">
        <v>0</v>
      </c>
      <c r="AO49" s="153">
        <v>0</v>
      </c>
      <c r="AP49" s="134">
        <f t="shared" si="62"/>
        <v>0</v>
      </c>
      <c r="AQ49" s="166">
        <v>0</v>
      </c>
      <c r="AR49" s="154">
        <v>0</v>
      </c>
      <c r="AS49" s="243">
        <f t="shared" si="63"/>
        <v>0</v>
      </c>
      <c r="AT49" s="165">
        <v>0</v>
      </c>
      <c r="AU49" s="292">
        <v>0</v>
      </c>
      <c r="AV49" s="101"/>
      <c r="AW49" s="210">
        <v>0</v>
      </c>
      <c r="AX49" s="211">
        <v>0</v>
      </c>
      <c r="AY49" s="167">
        <f t="shared" si="64"/>
        <v>0</v>
      </c>
      <c r="AZ49" s="101"/>
      <c r="BA49" s="103">
        <f t="shared" si="61"/>
        <v>0</v>
      </c>
    </row>
    <row r="50" spans="1:53" s="102" customFormat="1" ht="38.25">
      <c r="A50" s="256"/>
      <c r="B50" s="256"/>
      <c r="C50" s="256"/>
      <c r="D50" s="256"/>
      <c r="E50" s="256"/>
      <c r="F50" s="145" t="s">
        <v>44</v>
      </c>
      <c r="G50" s="179">
        <v>126877</v>
      </c>
      <c r="H50" s="179">
        <v>126877</v>
      </c>
      <c r="I50" s="180">
        <v>1265673</v>
      </c>
      <c r="J50" s="180">
        <v>126877</v>
      </c>
      <c r="K50" s="180">
        <v>126877</v>
      </c>
      <c r="L50" s="180">
        <v>126877</v>
      </c>
      <c r="M50" s="180">
        <v>126877</v>
      </c>
      <c r="N50" s="180">
        <v>126877</v>
      </c>
      <c r="O50" s="130">
        <f>N50</f>
        <v>126877</v>
      </c>
      <c r="P50" s="165">
        <v>126877</v>
      </c>
      <c r="Q50" s="165">
        <v>1265673</v>
      </c>
      <c r="R50" s="165">
        <v>1265673</v>
      </c>
      <c r="S50" s="166">
        <v>1265673</v>
      </c>
      <c r="T50" s="165">
        <v>0</v>
      </c>
      <c r="U50" s="167">
        <f>SUM(T50/G50*100)</f>
        <v>0</v>
      </c>
      <c r="V50" s="165">
        <v>0</v>
      </c>
      <c r="W50" s="167">
        <f>IF(H50=0,0,V50*100/H50)</f>
        <v>0</v>
      </c>
      <c r="X50" s="165">
        <v>0</v>
      </c>
      <c r="Y50" s="167">
        <f>IF(J50=0,0,X50*100/J50)</f>
        <v>0</v>
      </c>
      <c r="Z50" s="165">
        <v>0</v>
      </c>
      <c r="AA50" s="167">
        <f>IF(K50=0,0,Z50*100/K50)</f>
        <v>0</v>
      </c>
      <c r="AB50" s="165">
        <v>0</v>
      </c>
      <c r="AC50" s="167">
        <f>IF(L50=0,0,AB50*100/L50)</f>
        <v>0</v>
      </c>
      <c r="AD50" s="165"/>
      <c r="AE50" s="167">
        <f>IF(O50=0,0,AD50*100/O50)</f>
        <v>0</v>
      </c>
      <c r="AF50" s="165">
        <v>0</v>
      </c>
      <c r="AG50" s="167">
        <f>IF(N50=0,0,AF50*100/N50)</f>
        <v>0</v>
      </c>
      <c r="AH50" s="165">
        <v>86625.6</v>
      </c>
      <c r="AI50" s="167">
        <f>IF(O50=0,0,AH50*100/O50)</f>
        <v>68.27525871513356</v>
      </c>
      <c r="AJ50" s="165">
        <v>86625.6</v>
      </c>
      <c r="AK50" s="167">
        <f>IF(P50=0,0,AJ50*100/P50)</f>
        <v>68.27525871513356</v>
      </c>
      <c r="AL50" s="165">
        <v>109728</v>
      </c>
      <c r="AM50" s="134">
        <f>IF(Q50=0,0,AL50*100/Q50)</f>
        <v>8.669537866415732</v>
      </c>
      <c r="AN50" s="166">
        <v>118296.9</v>
      </c>
      <c r="AO50" s="153">
        <f>AN50/I50*100</f>
        <v>9.346561078572426</v>
      </c>
      <c r="AP50" s="134">
        <f t="shared" si="62"/>
        <v>9.346561078572428</v>
      </c>
      <c r="AQ50" s="166">
        <v>1265673</v>
      </c>
      <c r="AR50" s="154">
        <f>AQ50/I50*100</f>
        <v>100</v>
      </c>
      <c r="AS50" s="243">
        <f t="shared" si="63"/>
        <v>100</v>
      </c>
      <c r="AT50" s="165">
        <v>1265673</v>
      </c>
      <c r="AU50" s="129">
        <f>AT50*100/I50</f>
        <v>100</v>
      </c>
      <c r="AV50" s="101"/>
      <c r="AW50" s="210">
        <v>1137926</v>
      </c>
      <c r="AX50" s="211">
        <v>1137926</v>
      </c>
      <c r="AY50" s="167">
        <f t="shared" si="64"/>
        <v>100</v>
      </c>
      <c r="AZ50" s="101"/>
      <c r="BA50" s="103">
        <f t="shared" si="61"/>
        <v>1256222.9</v>
      </c>
    </row>
    <row r="51" spans="1:53" s="102" customFormat="1" ht="409.5">
      <c r="A51" s="124" t="s">
        <v>47</v>
      </c>
      <c r="B51" s="124">
        <v>6</v>
      </c>
      <c r="C51" s="212" t="s">
        <v>62</v>
      </c>
      <c r="D51" s="124" t="s">
        <v>205</v>
      </c>
      <c r="E51" s="124" t="s">
        <v>34</v>
      </c>
      <c r="F51" s="128" t="s">
        <v>26</v>
      </c>
      <c r="G51" s="149">
        <f>SUM(G53:G58)</f>
        <v>5164785.4</v>
      </c>
      <c r="H51" s="149">
        <f>SUM(H53:H58)</f>
        <v>5164785.4</v>
      </c>
      <c r="I51" s="149">
        <f aca="true" t="shared" si="65" ref="I51:AN51">I53+I54+I55+I57+I58</f>
        <v>6062250.100000001</v>
      </c>
      <c r="J51" s="149">
        <f t="shared" si="65"/>
        <v>5776102.7</v>
      </c>
      <c r="K51" s="149">
        <f t="shared" si="65"/>
        <v>5776102.7</v>
      </c>
      <c r="L51" s="149">
        <f t="shared" si="65"/>
        <v>5776102.7</v>
      </c>
      <c r="M51" s="149">
        <f t="shared" si="65"/>
        <v>5776102.7</v>
      </c>
      <c r="N51" s="149">
        <f t="shared" si="65"/>
        <v>5776102.7</v>
      </c>
      <c r="O51" s="149">
        <f t="shared" si="65"/>
        <v>5680158.561000001</v>
      </c>
      <c r="P51" s="149">
        <f t="shared" si="65"/>
        <v>5680158.561000001</v>
      </c>
      <c r="Q51" s="149">
        <f t="shared" si="65"/>
        <v>6148054.151</v>
      </c>
      <c r="R51" s="149">
        <f t="shared" si="65"/>
        <v>5700853.151</v>
      </c>
      <c r="S51" s="152">
        <f t="shared" si="65"/>
        <v>6066750.09</v>
      </c>
      <c r="T51" s="149">
        <f t="shared" si="65"/>
        <v>320604.6</v>
      </c>
      <c r="U51" s="149">
        <f t="shared" si="65"/>
        <v>6.552847558732425</v>
      </c>
      <c r="V51" s="149">
        <f t="shared" si="65"/>
        <v>868773.8</v>
      </c>
      <c r="W51" s="149">
        <f t="shared" si="65"/>
        <v>24.215726255519833</v>
      </c>
      <c r="X51" s="149">
        <f t="shared" si="65"/>
        <v>1423476.7999999998</v>
      </c>
      <c r="Y51" s="149">
        <f t="shared" si="65"/>
        <v>29.744642117060692</v>
      </c>
      <c r="Z51" s="149">
        <f t="shared" si="65"/>
        <v>1834688.6</v>
      </c>
      <c r="AA51" s="149">
        <f t="shared" si="65"/>
        <v>40.49188062625078</v>
      </c>
      <c r="AB51" s="149">
        <f t="shared" si="65"/>
        <v>2222742.9</v>
      </c>
      <c r="AC51" s="149">
        <f t="shared" si="65"/>
        <v>50.64567635165235</v>
      </c>
      <c r="AD51" s="149">
        <f t="shared" si="65"/>
        <v>2695422.1999999997</v>
      </c>
      <c r="AE51" s="149">
        <f t="shared" si="65"/>
        <v>62.556153687475756</v>
      </c>
      <c r="AF51" s="149">
        <f t="shared" si="65"/>
        <v>3185645.1</v>
      </c>
      <c r="AG51" s="149">
        <f t="shared" si="65"/>
        <v>73.14414648036272</v>
      </c>
      <c r="AH51" s="149">
        <f t="shared" si="65"/>
        <v>3546194.6</v>
      </c>
      <c r="AI51" s="149">
        <f t="shared" si="65"/>
        <v>181.231894791908</v>
      </c>
      <c r="AJ51" s="149">
        <f t="shared" si="65"/>
        <v>3888841.6610000003</v>
      </c>
      <c r="AK51" s="149">
        <f t="shared" si="65"/>
        <v>189.43907778063888</v>
      </c>
      <c r="AL51" s="149">
        <f t="shared" si="65"/>
        <v>4161073.5</v>
      </c>
      <c r="AM51" s="149">
        <f t="shared" si="65"/>
        <v>193.78534240483327</v>
      </c>
      <c r="AN51" s="152">
        <f t="shared" si="65"/>
        <v>4371937.5</v>
      </c>
      <c r="AO51" s="153">
        <f>AN51/I51*100</f>
        <v>72.11740571376293</v>
      </c>
      <c r="AP51" s="150">
        <f t="shared" si="62"/>
        <v>76.6891793947211</v>
      </c>
      <c r="AQ51" s="152">
        <f>AQ53+AQ54+AQ55+AQ57+AQ58</f>
        <v>5154026.456</v>
      </c>
      <c r="AR51" s="154">
        <f>AQ51/I51*100</f>
        <v>85.0183738872799</v>
      </c>
      <c r="AS51" s="189">
        <f t="shared" si="63"/>
        <v>84.95531181506111</v>
      </c>
      <c r="AT51" s="149">
        <f>AT53+AT54+AT55+AT57+AT58</f>
        <v>5653253.600000001</v>
      </c>
      <c r="AU51" s="129">
        <f>AT51*100/I51</f>
        <v>93.25338787985667</v>
      </c>
      <c r="AV51" s="213" t="s">
        <v>181</v>
      </c>
      <c r="AW51" s="129">
        <f>SUM(AW54+AW55+AW57+AW58+AW53)</f>
        <v>209279.6</v>
      </c>
      <c r="AX51" s="129">
        <f>SUM(AX54+AX55+AX57+AX58+AX53)</f>
        <v>189457.7</v>
      </c>
      <c r="AY51" s="134">
        <f t="shared" si="64"/>
        <v>90.52850827314272</v>
      </c>
      <c r="AZ51" s="131" t="s">
        <v>165</v>
      </c>
      <c r="BA51" s="103"/>
    </row>
    <row r="52" spans="1:53" s="102" customFormat="1" ht="25.5">
      <c r="A52" s="256"/>
      <c r="B52" s="256"/>
      <c r="C52" s="256"/>
      <c r="D52" s="256"/>
      <c r="E52" s="256"/>
      <c r="F52" s="136" t="s">
        <v>29</v>
      </c>
      <c r="G52" s="137"/>
      <c r="H52" s="137"/>
      <c r="I52" s="137"/>
      <c r="J52" s="137"/>
      <c r="K52" s="137"/>
      <c r="L52" s="137"/>
      <c r="M52" s="137"/>
      <c r="N52" s="137"/>
      <c r="O52" s="137"/>
      <c r="P52" s="137"/>
      <c r="Q52" s="137"/>
      <c r="R52" s="137"/>
      <c r="S52" s="139"/>
      <c r="T52" s="137"/>
      <c r="U52" s="137"/>
      <c r="V52" s="137"/>
      <c r="W52" s="137"/>
      <c r="X52" s="137"/>
      <c r="Y52" s="137"/>
      <c r="Z52" s="137"/>
      <c r="AA52" s="137"/>
      <c r="AB52" s="137"/>
      <c r="AC52" s="137"/>
      <c r="AD52" s="137"/>
      <c r="AE52" s="138"/>
      <c r="AF52" s="137"/>
      <c r="AG52" s="137"/>
      <c r="AH52" s="137"/>
      <c r="AI52" s="137"/>
      <c r="AJ52" s="137"/>
      <c r="AK52" s="137"/>
      <c r="AL52" s="137"/>
      <c r="AM52" s="137"/>
      <c r="AN52" s="139"/>
      <c r="AO52" s="138"/>
      <c r="AP52" s="137"/>
      <c r="AQ52" s="139"/>
      <c r="AR52" s="140"/>
      <c r="AS52" s="139"/>
      <c r="AT52" s="142"/>
      <c r="AU52" s="143"/>
      <c r="AV52" s="101"/>
      <c r="AW52" s="194"/>
      <c r="AX52" s="142"/>
      <c r="AY52" s="193"/>
      <c r="AZ52" s="101"/>
      <c r="BA52" s="103"/>
    </row>
    <row r="53" spans="1:53" s="102" customFormat="1" ht="38.25">
      <c r="A53" s="256"/>
      <c r="B53" s="256"/>
      <c r="C53" s="256"/>
      <c r="D53" s="256"/>
      <c r="E53" s="256"/>
      <c r="F53" s="144" t="s">
        <v>27</v>
      </c>
      <c r="G53" s="179">
        <v>0</v>
      </c>
      <c r="H53" s="179">
        <v>0</v>
      </c>
      <c r="I53" s="180">
        <v>6976.5</v>
      </c>
      <c r="J53" s="180">
        <v>0</v>
      </c>
      <c r="K53" s="180">
        <v>0</v>
      </c>
      <c r="L53" s="180">
        <v>0</v>
      </c>
      <c r="M53" s="180">
        <v>0</v>
      </c>
      <c r="N53" s="180">
        <v>0</v>
      </c>
      <c r="O53" s="180">
        <v>6976.461</v>
      </c>
      <c r="P53" s="180">
        <v>6976.461</v>
      </c>
      <c r="Q53" s="180">
        <v>6976.461</v>
      </c>
      <c r="R53" s="180">
        <v>6976.461</v>
      </c>
      <c r="S53" s="198">
        <v>6976.5</v>
      </c>
      <c r="T53" s="197">
        <v>0</v>
      </c>
      <c r="U53" s="167">
        <v>0</v>
      </c>
      <c r="V53" s="197">
        <v>0</v>
      </c>
      <c r="W53" s="167">
        <f>IF(H53=0,0,V53*100/H53)</f>
        <v>0</v>
      </c>
      <c r="X53" s="197">
        <v>0</v>
      </c>
      <c r="Y53" s="167">
        <f>IF(J53=0,0,X53*100/J53)</f>
        <v>0</v>
      </c>
      <c r="Z53" s="197">
        <v>0</v>
      </c>
      <c r="AA53" s="167">
        <f>IF(K53=0,0,Z53*100/K53)</f>
        <v>0</v>
      </c>
      <c r="AB53" s="197">
        <v>0</v>
      </c>
      <c r="AC53" s="167">
        <f>IF(L53=0,0,AB53*100/L53)</f>
        <v>0</v>
      </c>
      <c r="AD53" s="197">
        <v>0</v>
      </c>
      <c r="AE53" s="167">
        <f>IF(O53=0,0,AD53*100/O53)</f>
        <v>0</v>
      </c>
      <c r="AF53" s="197">
        <v>6776.5</v>
      </c>
      <c r="AG53" s="167">
        <f>IF(N53=0,0,AF53*100/N53)</f>
        <v>0</v>
      </c>
      <c r="AH53" s="197">
        <v>6976.5</v>
      </c>
      <c r="AI53" s="167">
        <f>IF(O53=0,0,AH53*100/O53)</f>
        <v>100.00055902269072</v>
      </c>
      <c r="AJ53" s="197">
        <v>6976.461</v>
      </c>
      <c r="AK53" s="167">
        <f>IF(P53=0,0,AJ53*100/P53)</f>
        <v>100</v>
      </c>
      <c r="AL53" s="197">
        <v>6976.5</v>
      </c>
      <c r="AM53" s="134">
        <f>IF(Q53=0,0,AL53*100/Q53)</f>
        <v>100.00055902269072</v>
      </c>
      <c r="AN53" s="198">
        <v>6976.5</v>
      </c>
      <c r="AO53" s="153">
        <f>AN53/I53*100</f>
        <v>100</v>
      </c>
      <c r="AP53" s="134">
        <f>IF(R53=0,0,AN53*100/R53)</f>
        <v>100.00055902269072</v>
      </c>
      <c r="AQ53" s="286">
        <v>6976.5</v>
      </c>
      <c r="AR53" s="154">
        <f>AQ53/I53*100</f>
        <v>100</v>
      </c>
      <c r="AS53" s="243">
        <f aca="true" t="shared" si="66" ref="AS53:AS59">IF(S53=0,0,AQ53*100/S53)</f>
        <v>100</v>
      </c>
      <c r="AT53" s="197">
        <v>6976.5</v>
      </c>
      <c r="AU53" s="129">
        <f>AT53*100/I53</f>
        <v>100</v>
      </c>
      <c r="AV53" s="101"/>
      <c r="AW53" s="180">
        <v>0</v>
      </c>
      <c r="AX53" s="180">
        <v>0</v>
      </c>
      <c r="AY53" s="167">
        <f>IF(AW53=0,0,AX53*100/AW53)</f>
        <v>0</v>
      </c>
      <c r="AZ53" s="101"/>
      <c r="BA53" s="103"/>
    </row>
    <row r="54" spans="1:53" s="102" customFormat="1" ht="51">
      <c r="A54" s="256"/>
      <c r="B54" s="256"/>
      <c r="C54" s="256"/>
      <c r="D54" s="256"/>
      <c r="E54" s="256"/>
      <c r="F54" s="145" t="s">
        <v>30</v>
      </c>
      <c r="G54" s="179">
        <v>4892599.7</v>
      </c>
      <c r="H54" s="179">
        <v>4892599.7</v>
      </c>
      <c r="I54" s="180">
        <v>5142837.2</v>
      </c>
      <c r="J54" s="180">
        <v>4937387.7</v>
      </c>
      <c r="K54" s="180">
        <v>4937387.7</v>
      </c>
      <c r="L54" s="180">
        <v>4937387.7</v>
      </c>
      <c r="M54" s="180">
        <v>4937387.7</v>
      </c>
      <c r="N54" s="180">
        <v>4937387.7</v>
      </c>
      <c r="O54" s="130">
        <v>4941887.7</v>
      </c>
      <c r="P54" s="130">
        <v>4941887.7</v>
      </c>
      <c r="Q54" s="165">
        <v>5070080.3</v>
      </c>
      <c r="R54" s="165">
        <v>5070080.3</v>
      </c>
      <c r="S54" s="166">
        <v>5147337.2</v>
      </c>
      <c r="T54" s="165">
        <v>320604.6</v>
      </c>
      <c r="U54" s="167">
        <f>SUM(T54/G54*100)</f>
        <v>6.552847558732425</v>
      </c>
      <c r="V54" s="169">
        <v>863523.8</v>
      </c>
      <c r="W54" s="167">
        <f>IF(H54=0,0,V54*100/H54)</f>
        <v>17.649590257711047</v>
      </c>
      <c r="X54" s="169">
        <v>1418181.4</v>
      </c>
      <c r="Y54" s="167">
        <f>IF(J54=0,0,X54*100/J54)</f>
        <v>28.72331455761515</v>
      </c>
      <c r="Z54" s="165">
        <v>1815147.6</v>
      </c>
      <c r="AA54" s="167">
        <f>IF(K54=0,0,Z54*100/K54)</f>
        <v>36.76331919407504</v>
      </c>
      <c r="AB54" s="165">
        <v>2189689.1</v>
      </c>
      <c r="AC54" s="167">
        <f>IF(L54=0,0,AB54*100/L54)</f>
        <v>44.349142361253094</v>
      </c>
      <c r="AD54" s="165">
        <v>2648492.5</v>
      </c>
      <c r="AE54" s="167">
        <f>IF(O54=0,0,AD54*100/O54)</f>
        <v>53.59272935319837</v>
      </c>
      <c r="AF54" s="165">
        <v>3127359.5</v>
      </c>
      <c r="AG54" s="167">
        <f>IF(N54=0,0,AF54*100/N54)</f>
        <v>63.34036721483306</v>
      </c>
      <c r="AH54" s="165">
        <v>3482861</v>
      </c>
      <c r="AI54" s="167">
        <f>IF(O54=0,0,AH54*100/O54)</f>
        <v>70.47632830669139</v>
      </c>
      <c r="AJ54" s="165">
        <v>3818004.1</v>
      </c>
      <c r="AK54" s="167">
        <f>IF(P54=0,0,AJ54*100/P54)</f>
        <v>77.25801013244393</v>
      </c>
      <c r="AL54" s="165">
        <v>4084735.9</v>
      </c>
      <c r="AM54" s="134">
        <f>IF(Q54=0,0,AL54*100/Q54)</f>
        <v>80.56550701968172</v>
      </c>
      <c r="AN54" s="166">
        <v>4278462.2</v>
      </c>
      <c r="AO54" s="153">
        <f>AN54/I54*100</f>
        <v>83.19264315813847</v>
      </c>
      <c r="AP54" s="134">
        <f>IF(R54=0,0,AN54*100/R54)</f>
        <v>84.3864780603179</v>
      </c>
      <c r="AQ54" s="166">
        <v>4986833.756</v>
      </c>
      <c r="AR54" s="154">
        <f>AQ54/I54*100</f>
        <v>96.9665879371021</v>
      </c>
      <c r="AS54" s="243">
        <f t="shared" si="66"/>
        <v>96.88181601935851</v>
      </c>
      <c r="AT54" s="165">
        <v>5034030.7</v>
      </c>
      <c r="AU54" s="129">
        <f>AT54*100/I54</f>
        <v>97.88430985137931</v>
      </c>
      <c r="AV54" s="101"/>
      <c r="AW54" s="165">
        <v>203456.6</v>
      </c>
      <c r="AX54" s="165">
        <v>172320.1</v>
      </c>
      <c r="AY54" s="167">
        <f>IF(AW54=0,0,AX54*100/AW54)</f>
        <v>84.69624480110254</v>
      </c>
      <c r="AZ54" s="101"/>
      <c r="BA54" s="103"/>
    </row>
    <row r="55" spans="1:53" s="102" customFormat="1" ht="63.75">
      <c r="A55" s="256"/>
      <c r="B55" s="256"/>
      <c r="C55" s="256"/>
      <c r="D55" s="256"/>
      <c r="E55" s="256"/>
      <c r="F55" s="145" t="s">
        <v>38</v>
      </c>
      <c r="G55" s="179">
        <v>79955.7</v>
      </c>
      <c r="H55" s="179">
        <v>79955.7</v>
      </c>
      <c r="I55" s="166">
        <v>526205</v>
      </c>
      <c r="J55" s="166">
        <v>526205</v>
      </c>
      <c r="K55" s="166">
        <v>526205</v>
      </c>
      <c r="L55" s="166">
        <v>526205</v>
      </c>
      <c r="M55" s="166">
        <v>526205</v>
      </c>
      <c r="N55" s="166">
        <v>526205</v>
      </c>
      <c r="O55" s="166">
        <v>526205</v>
      </c>
      <c r="P55" s="166">
        <v>526205</v>
      </c>
      <c r="Q55" s="166">
        <v>526205</v>
      </c>
      <c r="R55" s="166">
        <v>526205</v>
      </c>
      <c r="S55" s="166">
        <v>526205</v>
      </c>
      <c r="T55" s="165">
        <v>0</v>
      </c>
      <c r="U55" s="167">
        <f>SUM(T55/G55*100)</f>
        <v>0</v>
      </c>
      <c r="V55" s="169">
        <v>5250</v>
      </c>
      <c r="W55" s="167">
        <f>IF(H55=0,0,V55*100/H55)</f>
        <v>6.566135997808787</v>
      </c>
      <c r="X55" s="165">
        <v>5250</v>
      </c>
      <c r="Y55" s="167">
        <f>IF(J55=0,0,X55*100/J55)</f>
        <v>0.9977100179587803</v>
      </c>
      <c r="Z55" s="165">
        <v>19495.6</v>
      </c>
      <c r="AA55" s="167">
        <f>IF(K55=0,0,Z55*100/K55)</f>
        <v>3.7049438906889898</v>
      </c>
      <c r="AB55" s="165">
        <v>33008.399999999994</v>
      </c>
      <c r="AC55" s="167">
        <f>IF(L55=0,0,AB55*100/L55)</f>
        <v>6.272916448912495</v>
      </c>
      <c r="AD55" s="165">
        <v>46884.3</v>
      </c>
      <c r="AE55" s="167">
        <f>IF(O55=0,0,AD55*100/O55)</f>
        <v>8.909892532378066</v>
      </c>
      <c r="AF55" s="165">
        <v>51463.7</v>
      </c>
      <c r="AG55" s="167">
        <f>IF(N55=0,0,AF55*100/N55)</f>
        <v>9.78016172404291</v>
      </c>
      <c r="AH55" s="165">
        <v>56311.7</v>
      </c>
      <c r="AI55" s="167">
        <f>IF(O55=0,0,AH55*100/O55)</f>
        <v>10.701475660626562</v>
      </c>
      <c r="AJ55" s="165">
        <v>63815.7</v>
      </c>
      <c r="AK55" s="167">
        <f>IF(P55=0,0,AJ55*100/P55)</f>
        <v>12.127535846295645</v>
      </c>
      <c r="AL55" s="165">
        <v>69315.7</v>
      </c>
      <c r="AM55" s="134">
        <f>IF(Q55=0,0,AL55*100/Q55)</f>
        <v>13.172755865109606</v>
      </c>
      <c r="AN55" s="166">
        <v>75138.7</v>
      </c>
      <c r="AO55" s="153">
        <f>AN55/I55*100</f>
        <v>14.279358805028458</v>
      </c>
      <c r="AP55" s="134">
        <f>IF(R55=0,0,AN55*100/R55)</f>
        <v>14.279358805028458</v>
      </c>
      <c r="AQ55" s="166">
        <v>141815.69999999998</v>
      </c>
      <c r="AR55" s="154">
        <f>AQ55/I55*100</f>
        <v>26.95065611311181</v>
      </c>
      <c r="AS55" s="243">
        <f t="shared" si="66"/>
        <v>26.950656113111805</v>
      </c>
      <c r="AT55" s="165">
        <v>79004</v>
      </c>
      <c r="AU55" s="129">
        <f>AT55*100/I55</f>
        <v>15.013920430250568</v>
      </c>
      <c r="AV55" s="101"/>
      <c r="AW55" s="165">
        <v>5823</v>
      </c>
      <c r="AX55" s="165">
        <v>5823</v>
      </c>
      <c r="AY55" s="167">
        <f>IF(AW55=0,0,AX55*100/AW55)</f>
        <v>100</v>
      </c>
      <c r="AZ55" s="101"/>
      <c r="BA55" s="103"/>
    </row>
    <row r="56" spans="1:53" s="102" customFormat="1" ht="204">
      <c r="A56" s="256"/>
      <c r="B56" s="256"/>
      <c r="C56" s="256"/>
      <c r="D56" s="256"/>
      <c r="E56" s="256"/>
      <c r="F56" s="145" t="s">
        <v>185</v>
      </c>
      <c r="G56" s="179"/>
      <c r="H56" s="179"/>
      <c r="I56" s="165">
        <v>447201</v>
      </c>
      <c r="J56" s="165">
        <v>447201</v>
      </c>
      <c r="K56" s="165">
        <v>447201</v>
      </c>
      <c r="L56" s="165">
        <v>447201</v>
      </c>
      <c r="M56" s="165">
        <v>447201</v>
      </c>
      <c r="N56" s="165">
        <v>447201</v>
      </c>
      <c r="O56" s="165">
        <v>447201</v>
      </c>
      <c r="P56" s="165">
        <v>447201</v>
      </c>
      <c r="Q56" s="165">
        <v>447201</v>
      </c>
      <c r="R56" s="165">
        <v>447201</v>
      </c>
      <c r="S56" s="166">
        <v>447201</v>
      </c>
      <c r="T56" s="165"/>
      <c r="U56" s="167"/>
      <c r="V56" s="169"/>
      <c r="W56" s="167"/>
      <c r="X56" s="165"/>
      <c r="Y56" s="167"/>
      <c r="Z56" s="165"/>
      <c r="AA56" s="167"/>
      <c r="AB56" s="165"/>
      <c r="AC56" s="167"/>
      <c r="AD56" s="165"/>
      <c r="AE56" s="167"/>
      <c r="AF56" s="165"/>
      <c r="AG56" s="167"/>
      <c r="AH56" s="165"/>
      <c r="AI56" s="167"/>
      <c r="AJ56" s="165"/>
      <c r="AK56" s="167"/>
      <c r="AL56" s="165"/>
      <c r="AM56" s="134"/>
      <c r="AN56" s="166">
        <v>0</v>
      </c>
      <c r="AO56" s="153">
        <v>0</v>
      </c>
      <c r="AP56" s="134">
        <v>0</v>
      </c>
      <c r="AQ56" s="166">
        <v>65176.7</v>
      </c>
      <c r="AR56" s="154"/>
      <c r="AS56" s="243">
        <f t="shared" si="66"/>
        <v>14.574363653032977</v>
      </c>
      <c r="AT56" s="165"/>
      <c r="AU56" s="129"/>
      <c r="AV56" s="101"/>
      <c r="AW56" s="165">
        <v>0</v>
      </c>
      <c r="AX56" s="165">
        <v>0</v>
      </c>
      <c r="AY56" s="167">
        <v>0</v>
      </c>
      <c r="AZ56" s="101"/>
      <c r="BA56" s="103"/>
    </row>
    <row r="57" spans="1:53" s="102" customFormat="1" ht="51">
      <c r="A57" s="256"/>
      <c r="B57" s="256"/>
      <c r="C57" s="256"/>
      <c r="D57" s="256"/>
      <c r="E57" s="256"/>
      <c r="F57" s="145" t="s">
        <v>23</v>
      </c>
      <c r="G57" s="179">
        <v>192230</v>
      </c>
      <c r="H57" s="179">
        <v>192230</v>
      </c>
      <c r="I57" s="180">
        <v>86041.4</v>
      </c>
      <c r="J57" s="180">
        <v>192230</v>
      </c>
      <c r="K57" s="180">
        <v>192230</v>
      </c>
      <c r="L57" s="180">
        <v>192230</v>
      </c>
      <c r="M57" s="180">
        <v>192230</v>
      </c>
      <c r="N57" s="180">
        <v>192230</v>
      </c>
      <c r="O57" s="130">
        <v>84809.4</v>
      </c>
      <c r="P57" s="130">
        <v>84809.4</v>
      </c>
      <c r="Q57" s="165">
        <v>97591.39</v>
      </c>
      <c r="R57" s="165">
        <v>97591.39</v>
      </c>
      <c r="S57" s="166">
        <v>86041.39</v>
      </c>
      <c r="T57" s="165">
        <v>0</v>
      </c>
      <c r="U57" s="167">
        <f>SUM(T57/G57*100)</f>
        <v>0</v>
      </c>
      <c r="V57" s="165">
        <v>0</v>
      </c>
      <c r="W57" s="167">
        <f>IF(H57=0,0,V57*100/H57)</f>
        <v>0</v>
      </c>
      <c r="X57" s="165">
        <v>45.4</v>
      </c>
      <c r="Y57" s="167">
        <f>IF(J57=0,0,X57*100/J57)</f>
        <v>0.02361754148676065</v>
      </c>
      <c r="Z57" s="165">
        <v>45.4</v>
      </c>
      <c r="AA57" s="167">
        <f>IF(K57=0,0,Z57*100/K57)</f>
        <v>0.02361754148676065</v>
      </c>
      <c r="AB57" s="165">
        <v>45.4</v>
      </c>
      <c r="AC57" s="167">
        <f>IF(L57=0,0,AB57*100/L57)</f>
        <v>0.02361754148676065</v>
      </c>
      <c r="AD57" s="165">
        <v>45.4</v>
      </c>
      <c r="AE57" s="167">
        <f>IF(O57=0,0,AD57*100/O57)</f>
        <v>0.05353180189931777</v>
      </c>
      <c r="AF57" s="165">
        <v>45.4</v>
      </c>
      <c r="AG57" s="167">
        <f>IF(N57=0,0,AF57*100/N57)</f>
        <v>0.02361754148676065</v>
      </c>
      <c r="AH57" s="165">
        <v>45.4</v>
      </c>
      <c r="AI57" s="167">
        <f>IF(O57=0,0,AH57*100/O57)</f>
        <v>0.05353180189931777</v>
      </c>
      <c r="AJ57" s="165">
        <v>45.4</v>
      </c>
      <c r="AK57" s="167">
        <f>IF(P57=0,0,AJ57*100/P57)</f>
        <v>0.05353180189931777</v>
      </c>
      <c r="AL57" s="165">
        <v>45.4</v>
      </c>
      <c r="AM57" s="134">
        <f>IF(Q57=0,0,AL57*100/Q57)</f>
        <v>0.046520497351251994</v>
      </c>
      <c r="AN57" s="166">
        <v>11360.1</v>
      </c>
      <c r="AO57" s="153">
        <f>AN57/I57*100</f>
        <v>13.20306271167136</v>
      </c>
      <c r="AP57" s="134">
        <f>IF(R57=0,0,AN57*100/R57)</f>
        <v>11.640473611452814</v>
      </c>
      <c r="AQ57" s="166">
        <v>11360.1</v>
      </c>
      <c r="AR57" s="154">
        <f>AQ57/I57*100</f>
        <v>13.20306271167136</v>
      </c>
      <c r="AS57" s="243">
        <f t="shared" si="66"/>
        <v>13.203064246172685</v>
      </c>
      <c r="AT57" s="165">
        <v>86041.4</v>
      </c>
      <c r="AU57" s="129">
        <f>AT57*100/I57</f>
        <v>100</v>
      </c>
      <c r="AV57" s="101"/>
      <c r="AW57" s="130">
        <v>0</v>
      </c>
      <c r="AX57" s="130">
        <v>11314.6</v>
      </c>
      <c r="AY57" s="167">
        <f>IF(AW57=0,0,AX57*100/AW57)</f>
        <v>0</v>
      </c>
      <c r="AZ57" s="101"/>
      <c r="BA57" s="103"/>
    </row>
    <row r="58" spans="1:53" s="102" customFormat="1" ht="38.25">
      <c r="A58" s="256"/>
      <c r="B58" s="256"/>
      <c r="C58" s="256"/>
      <c r="D58" s="256"/>
      <c r="E58" s="256"/>
      <c r="F58" s="145" t="s">
        <v>44</v>
      </c>
      <c r="G58" s="179">
        <v>0</v>
      </c>
      <c r="H58" s="179">
        <v>0</v>
      </c>
      <c r="I58" s="166">
        <v>300190</v>
      </c>
      <c r="J58" s="130">
        <v>120280</v>
      </c>
      <c r="K58" s="130">
        <v>120280</v>
      </c>
      <c r="L58" s="130">
        <v>120280</v>
      </c>
      <c r="M58" s="130">
        <v>120280</v>
      </c>
      <c r="N58" s="130">
        <v>120280</v>
      </c>
      <c r="O58" s="130">
        <v>120280</v>
      </c>
      <c r="P58" s="130">
        <v>120280</v>
      </c>
      <c r="Q58" s="165">
        <v>447201</v>
      </c>
      <c r="R58" s="165">
        <v>0</v>
      </c>
      <c r="S58" s="166">
        <v>300190</v>
      </c>
      <c r="T58" s="165">
        <v>0</v>
      </c>
      <c r="U58" s="167">
        <v>0</v>
      </c>
      <c r="V58" s="165">
        <v>0</v>
      </c>
      <c r="W58" s="167">
        <f>IF(H58=0,0,V58*100/H58)</f>
        <v>0</v>
      </c>
      <c r="X58" s="165">
        <v>0</v>
      </c>
      <c r="Y58" s="167">
        <f>IF(J58=0,0,X58*100/J58)</f>
        <v>0</v>
      </c>
      <c r="Z58" s="165">
        <v>0</v>
      </c>
      <c r="AA58" s="167">
        <f>IF(K58=0,0,Z58*100/K58)</f>
        <v>0</v>
      </c>
      <c r="AB58" s="165">
        <v>0</v>
      </c>
      <c r="AC58" s="167">
        <f>IF(L58=0,0,AB58*100/L58)</f>
        <v>0</v>
      </c>
      <c r="AD58" s="165">
        <v>0</v>
      </c>
      <c r="AE58" s="167">
        <f>IF(O58=0,0,AD58*100/O58)</f>
        <v>0</v>
      </c>
      <c r="AF58" s="165">
        <v>0</v>
      </c>
      <c r="AG58" s="167">
        <f>IF(N58=0,0,AF58*100/N58)</f>
        <v>0</v>
      </c>
      <c r="AH58" s="165">
        <v>0</v>
      </c>
      <c r="AI58" s="167">
        <f>IF(O58=0,0,AH58*100/O58)</f>
        <v>0</v>
      </c>
      <c r="AJ58" s="165">
        <v>0</v>
      </c>
      <c r="AK58" s="167">
        <f>IF(P58=0,0,AJ58*100/P58)</f>
        <v>0</v>
      </c>
      <c r="AL58" s="165">
        <v>0</v>
      </c>
      <c r="AM58" s="134">
        <f>IF(Q58=0,0,AL58*100/Q58)</f>
        <v>0</v>
      </c>
      <c r="AN58" s="166">
        <v>0</v>
      </c>
      <c r="AO58" s="153">
        <v>0</v>
      </c>
      <c r="AP58" s="134">
        <f>IF(R58=0,0,AN58*100/R58)</f>
        <v>0</v>
      </c>
      <c r="AQ58" s="166">
        <v>7040.4</v>
      </c>
      <c r="AR58" s="154">
        <f>AQ58/I58*100</f>
        <v>2.3453146340650917</v>
      </c>
      <c r="AS58" s="243">
        <f t="shared" si="66"/>
        <v>2.345314634065092</v>
      </c>
      <c r="AT58" s="165">
        <v>447201</v>
      </c>
      <c r="AU58" s="129">
        <f>AT58*100/I58</f>
        <v>148.97265065458544</v>
      </c>
      <c r="AV58" s="101"/>
      <c r="AW58" s="130">
        <v>0</v>
      </c>
      <c r="AX58" s="130">
        <v>0</v>
      </c>
      <c r="AY58" s="167">
        <f>IF(AW58=0,0,AX58*100/AW58)</f>
        <v>0</v>
      </c>
      <c r="AZ58" s="101"/>
      <c r="BA58" s="103"/>
    </row>
    <row r="59" spans="1:53" s="102" customFormat="1" ht="409.5">
      <c r="A59" s="124" t="s">
        <v>47</v>
      </c>
      <c r="B59" s="124">
        <v>7</v>
      </c>
      <c r="C59" s="135" t="s">
        <v>76</v>
      </c>
      <c r="D59" s="124" t="s">
        <v>174</v>
      </c>
      <c r="E59" s="124" t="s">
        <v>10</v>
      </c>
      <c r="F59" s="128" t="s">
        <v>26</v>
      </c>
      <c r="G59" s="149">
        <f>SUM(G62+G63+G64+G65+G61)</f>
        <v>2035681.8</v>
      </c>
      <c r="H59" s="149">
        <f>SUM(H62+H63+H64+H65+H61)</f>
        <v>2035681.8</v>
      </c>
      <c r="I59" s="149">
        <f>SUM(I61:I65)</f>
        <v>1994630.9000000001</v>
      </c>
      <c r="J59" s="149">
        <f>SUM(J62+J63+J64+J65+J61)</f>
        <v>2035681.8</v>
      </c>
      <c r="K59" s="149">
        <f>SUM(K62+K63+K64+K65+K61)</f>
        <v>2035681.8</v>
      </c>
      <c r="L59" s="149">
        <f>SUM(L62+L63+L64+L65+L61)</f>
        <v>2035681.8</v>
      </c>
      <c r="M59" s="149">
        <f>SUM(M62+M63+M64+M65+M61)</f>
        <v>2035681.8</v>
      </c>
      <c r="N59" s="149">
        <f>SUM(N62+N63+N64+N65+N61)</f>
        <v>2035681.8</v>
      </c>
      <c r="O59" s="149">
        <f>SUM(O61:O65)</f>
        <v>2035681.8</v>
      </c>
      <c r="P59" s="149">
        <f>SUM(P61:P65)</f>
        <v>2035681.8</v>
      </c>
      <c r="Q59" s="149">
        <f>SUM(Q61:Q65)</f>
        <v>2043595.3</v>
      </c>
      <c r="R59" s="149">
        <f>SUM(R61:R65)</f>
        <v>2043595.3</v>
      </c>
      <c r="S59" s="231">
        <f>S61+S62+S65</f>
        <v>2046226.8</v>
      </c>
      <c r="T59" s="149">
        <f>SUM(T62+T63+T64+T65+T61)</f>
        <v>72242.7</v>
      </c>
      <c r="U59" s="150">
        <f>SUM(T59/G59*100)</f>
        <v>3.548820842235756</v>
      </c>
      <c r="V59" s="149">
        <f>SUM(V62+V63+V64+V65+V61)</f>
        <v>197759.49999999997</v>
      </c>
      <c r="W59" s="150">
        <f>IF(H59=0,0,V59*100/H59)</f>
        <v>9.714656779856261</v>
      </c>
      <c r="X59" s="149">
        <f>SUM(X62+X63+X64+X65+X61)</f>
        <v>299941.9</v>
      </c>
      <c r="Y59" s="150">
        <f>IF(J59=0,0,X59*100/J59)</f>
        <v>14.734223197358252</v>
      </c>
      <c r="Z59" s="149">
        <f>SUM(Z62+Z63+Z64+Z65+Z61)</f>
        <v>556865.1</v>
      </c>
      <c r="AA59" s="150">
        <f>IF(K59=0,0,Z59*100/K59)</f>
        <v>27.355213373720783</v>
      </c>
      <c r="AB59" s="149">
        <f>SUM(AB62+AB63+AB64+AB65+AB61)</f>
        <v>657969.7</v>
      </c>
      <c r="AC59" s="150">
        <f>IF(L59=0,0,AB59*100/L59)</f>
        <v>32.32183438492204</v>
      </c>
      <c r="AD59" s="149">
        <f>SUM(AD62+AD63+AD64+AD65+AD61)</f>
        <v>760107.56</v>
      </c>
      <c r="AE59" s="151">
        <f>IF(O59=0,0,AD59*100/O59)</f>
        <v>37.33921283768416</v>
      </c>
      <c r="AF59" s="149">
        <f>SUM(AF62+AF63+AF64+AF65+AF61)</f>
        <v>1066412.5</v>
      </c>
      <c r="AG59" s="150">
        <f>IF(N59=0,0,AF59*100/N59)</f>
        <v>52.38601140905224</v>
      </c>
      <c r="AH59" s="149">
        <f>SUM(AH62+AH63+AH64+AH65+AH61)</f>
        <v>1167305.6</v>
      </c>
      <c r="AI59" s="150">
        <f>IF(O59=0,0,AH59*100/O59)</f>
        <v>57.34224278077252</v>
      </c>
      <c r="AJ59" s="149">
        <f>SUM(AJ62+AJ63+AJ64+AJ65+AJ61)</f>
        <v>1287733.2600000002</v>
      </c>
      <c r="AK59" s="150">
        <f>IF(P59=0,0,AJ59*100/P59)</f>
        <v>63.25808188686465</v>
      </c>
      <c r="AL59" s="149">
        <f>SUM(AL62+AL63+AL64+AL65+AL61)</f>
        <v>1443579.4</v>
      </c>
      <c r="AM59" s="150">
        <f>IF(Q59=0,0,AL59*100/Q59)</f>
        <v>70.63920141135576</v>
      </c>
      <c r="AN59" s="152">
        <f>SUM(AN62+AN63+AN64+AN65+AN61)</f>
        <v>1549346.8</v>
      </c>
      <c r="AO59" s="153">
        <f>AN59/I59*100</f>
        <v>77.675864742695</v>
      </c>
      <c r="AP59" s="150">
        <f>IF(R59=0,0,AN59*100/R59)</f>
        <v>75.81475647355423</v>
      </c>
      <c r="AQ59" s="152">
        <f>SUM(AQ62+AQ63+AQ64+AQ65+AQ61)</f>
        <v>1861051.9</v>
      </c>
      <c r="AR59" s="154">
        <f>AQ59/I59*100</f>
        <v>93.30307176129678</v>
      </c>
      <c r="AS59" s="189">
        <f t="shared" si="66"/>
        <v>90.95042152707607</v>
      </c>
      <c r="AT59" s="190">
        <f>SUM(AT62+AT63+AT64+AT65+AT61)</f>
        <v>1867168.5</v>
      </c>
      <c r="AU59" s="129">
        <f>AT59*100/I59</f>
        <v>93.60972498721442</v>
      </c>
      <c r="AV59" s="213" t="s">
        <v>214</v>
      </c>
      <c r="AW59" s="129">
        <f>SUM(AW62+AW63+AW64+AW65+AW61)</f>
        <v>369006.9</v>
      </c>
      <c r="AX59" s="129">
        <f>SUM(AX62+AX63+AX64+AX65+AX61)</f>
        <v>229103.9</v>
      </c>
      <c r="AY59" s="134">
        <f>IF(AW59=0,0,AX59*100/AW59)</f>
        <v>62.086616808520375</v>
      </c>
      <c r="AZ59" s="214" t="s">
        <v>215</v>
      </c>
      <c r="BA59" s="103"/>
    </row>
    <row r="60" spans="1:53" s="102" customFormat="1" ht="25.5">
      <c r="A60" s="256"/>
      <c r="B60" s="256"/>
      <c r="C60" s="256"/>
      <c r="D60" s="256"/>
      <c r="E60" s="256"/>
      <c r="F60" s="136" t="s">
        <v>29</v>
      </c>
      <c r="G60" s="137"/>
      <c r="H60" s="137"/>
      <c r="I60" s="137"/>
      <c r="J60" s="137"/>
      <c r="K60" s="137"/>
      <c r="L60" s="137"/>
      <c r="M60" s="137"/>
      <c r="N60" s="137"/>
      <c r="O60" s="137"/>
      <c r="P60" s="137"/>
      <c r="Q60" s="137"/>
      <c r="R60" s="137"/>
      <c r="S60" s="139"/>
      <c r="T60" s="137"/>
      <c r="U60" s="137"/>
      <c r="V60" s="137"/>
      <c r="W60" s="137"/>
      <c r="X60" s="137"/>
      <c r="Y60" s="137"/>
      <c r="Z60" s="137"/>
      <c r="AA60" s="137"/>
      <c r="AB60" s="137"/>
      <c r="AC60" s="137"/>
      <c r="AD60" s="137"/>
      <c r="AE60" s="138"/>
      <c r="AF60" s="137"/>
      <c r="AG60" s="137"/>
      <c r="AH60" s="137"/>
      <c r="AI60" s="137"/>
      <c r="AJ60" s="137"/>
      <c r="AK60" s="137"/>
      <c r="AL60" s="137"/>
      <c r="AM60" s="137"/>
      <c r="AN60" s="139"/>
      <c r="AO60" s="138"/>
      <c r="AP60" s="137"/>
      <c r="AQ60" s="139"/>
      <c r="AR60" s="140"/>
      <c r="AS60" s="139"/>
      <c r="AT60" s="142"/>
      <c r="AU60" s="143"/>
      <c r="AV60" s="101"/>
      <c r="AW60" s="194"/>
      <c r="AX60" s="142"/>
      <c r="AY60" s="193"/>
      <c r="AZ60" s="101"/>
      <c r="BA60" s="103"/>
    </row>
    <row r="61" spans="1:53" s="102" customFormat="1" ht="38.25">
      <c r="A61" s="256"/>
      <c r="B61" s="256"/>
      <c r="C61" s="256"/>
      <c r="D61" s="256"/>
      <c r="E61" s="256"/>
      <c r="F61" s="144" t="s">
        <v>27</v>
      </c>
      <c r="G61" s="179">
        <v>385480.3</v>
      </c>
      <c r="H61" s="179">
        <v>385480.3</v>
      </c>
      <c r="I61" s="180">
        <v>388092.3</v>
      </c>
      <c r="J61" s="180">
        <v>385480.3</v>
      </c>
      <c r="K61" s="180">
        <v>385480.3</v>
      </c>
      <c r="L61" s="197">
        <v>385480.3</v>
      </c>
      <c r="M61" s="197">
        <v>385480.3</v>
      </c>
      <c r="N61" s="197">
        <v>385480.3</v>
      </c>
      <c r="O61" s="180">
        <f>N61</f>
        <v>385480.3</v>
      </c>
      <c r="P61" s="197">
        <v>385480.3</v>
      </c>
      <c r="Q61" s="197">
        <v>388092.3</v>
      </c>
      <c r="R61" s="197">
        <v>388092.3</v>
      </c>
      <c r="S61" s="198">
        <v>388092.3</v>
      </c>
      <c r="T61" s="197">
        <v>20350.5</v>
      </c>
      <c r="U61" s="167">
        <f>SUM(T61/G61*100)</f>
        <v>5.279258109947512</v>
      </c>
      <c r="V61" s="197">
        <v>41678.9</v>
      </c>
      <c r="W61" s="167">
        <f aca="true" t="shared" si="67" ref="W61:W66">IF(H61=0,0,V61*100/H61)</f>
        <v>10.812199741465388</v>
      </c>
      <c r="X61" s="197">
        <v>67824.6</v>
      </c>
      <c r="Y61" s="167">
        <f aca="true" t="shared" si="68" ref="Y61:Y66">IF(J61=0,0,X61*100/J61)</f>
        <v>17.594829100216018</v>
      </c>
      <c r="Z61" s="197">
        <v>92347.8</v>
      </c>
      <c r="AA61" s="167">
        <f aca="true" t="shared" si="69" ref="AA61:AA66">IF(K61=0,0,Z61*100/K61)</f>
        <v>23.95655497829591</v>
      </c>
      <c r="AB61" s="197">
        <v>115256.7</v>
      </c>
      <c r="AC61" s="167">
        <f aca="true" t="shared" si="70" ref="AC61:AC66">IF(L61=0,0,AB61*100/L61)</f>
        <v>29.89950459206346</v>
      </c>
      <c r="AD61" s="197">
        <v>136264.80000000002</v>
      </c>
      <c r="AE61" s="167">
        <f aca="true" t="shared" si="71" ref="AE61:AE66">IF(O61=0,0,AD61*100/O61)</f>
        <v>35.349355077289296</v>
      </c>
      <c r="AF61" s="197">
        <v>155966</v>
      </c>
      <c r="AG61" s="167">
        <f aca="true" t="shared" si="72" ref="AG61:AG66">IF(N61=0,0,AF61*100/N61)</f>
        <v>40.46017396997979</v>
      </c>
      <c r="AH61" s="197">
        <v>175641.5</v>
      </c>
      <c r="AI61" s="167">
        <f aca="true" t="shared" si="73" ref="AI61:AI66">IF(O61=0,0,AH61*100/O61)</f>
        <v>45.56432585530311</v>
      </c>
      <c r="AJ61" s="197">
        <v>195618.90000000002</v>
      </c>
      <c r="AK61" s="167">
        <f aca="true" t="shared" si="74" ref="AK61:AK66">IF(P61=0,0,AJ61*100/P61)</f>
        <v>50.746795620943544</v>
      </c>
      <c r="AL61" s="197">
        <v>216660.7</v>
      </c>
      <c r="AM61" s="134">
        <f aca="true" t="shared" si="75" ref="AM61:AM66">IF(Q61=0,0,AL61*100/Q61)</f>
        <v>55.82710607760061</v>
      </c>
      <c r="AN61" s="196">
        <v>238619.8</v>
      </c>
      <c r="AO61" s="153">
        <f>AN61/I61*100</f>
        <v>61.48532191955367</v>
      </c>
      <c r="AP61" s="134">
        <f aca="true" t="shared" si="76" ref="AP61:AP66">IF(R61=0,0,AN61*100/R61)</f>
        <v>61.48532191955368</v>
      </c>
      <c r="AQ61" s="198">
        <v>264582.9</v>
      </c>
      <c r="AR61" s="154">
        <f>AQ61/I61*100</f>
        <v>68.17525109361871</v>
      </c>
      <c r="AS61" s="243">
        <f aca="true" t="shared" si="77" ref="AS61:AS66">IF(S61=0,0,AQ61*100/S61)</f>
        <v>68.17525109361873</v>
      </c>
      <c r="AT61" s="164">
        <v>264894.7</v>
      </c>
      <c r="AU61" s="129">
        <f>AT61*100/I61</f>
        <v>68.2555928061443</v>
      </c>
      <c r="AV61" s="101"/>
      <c r="AW61" s="130">
        <v>149472.5</v>
      </c>
      <c r="AX61" s="130">
        <v>25909.1</v>
      </c>
      <c r="AY61" s="167">
        <f>IF(AW61=0,0,AX61*100/AW61)</f>
        <v>17.333690143671912</v>
      </c>
      <c r="AZ61" s="101"/>
      <c r="BA61" s="103"/>
    </row>
    <row r="62" spans="1:53" s="102" customFormat="1" ht="51">
      <c r="A62" s="256"/>
      <c r="B62" s="256"/>
      <c r="C62" s="256"/>
      <c r="D62" s="256"/>
      <c r="E62" s="256"/>
      <c r="F62" s="145" t="s">
        <v>30</v>
      </c>
      <c r="G62" s="179">
        <v>1034584.2</v>
      </c>
      <c r="H62" s="179">
        <v>1034584.2</v>
      </c>
      <c r="I62" s="180">
        <v>990921.3</v>
      </c>
      <c r="J62" s="180">
        <v>1034584.2</v>
      </c>
      <c r="K62" s="180">
        <v>1034584.2</v>
      </c>
      <c r="L62" s="165">
        <v>1034584.2</v>
      </c>
      <c r="M62" s="165">
        <v>1034584.2</v>
      </c>
      <c r="N62" s="165">
        <v>1034584.2</v>
      </c>
      <c r="O62" s="130">
        <f>N62</f>
        <v>1034584.2</v>
      </c>
      <c r="P62" s="165">
        <v>1034584.2</v>
      </c>
      <c r="Q62" s="165">
        <v>1039885.7</v>
      </c>
      <c r="R62" s="165">
        <v>1039885.7</v>
      </c>
      <c r="S62" s="166">
        <v>1042517.2</v>
      </c>
      <c r="T62" s="165">
        <v>51892.2</v>
      </c>
      <c r="U62" s="167">
        <f>SUM(T62/G62*100)</f>
        <v>5.015754155147547</v>
      </c>
      <c r="V62" s="165">
        <v>147444.3</v>
      </c>
      <c r="W62" s="167">
        <f t="shared" si="67"/>
        <v>14.251551492860608</v>
      </c>
      <c r="X62" s="165">
        <v>223481</v>
      </c>
      <c r="Y62" s="167">
        <f t="shared" si="68"/>
        <v>21.60104513484741</v>
      </c>
      <c r="Z62" s="165">
        <v>304394.6</v>
      </c>
      <c r="AA62" s="167">
        <f t="shared" si="69"/>
        <v>29.42192621924827</v>
      </c>
      <c r="AB62" s="165">
        <v>382590.3</v>
      </c>
      <c r="AC62" s="167">
        <f t="shared" si="70"/>
        <v>36.98010273112619</v>
      </c>
      <c r="AD62" s="169">
        <v>463720.06</v>
      </c>
      <c r="AE62" s="167">
        <f t="shared" si="71"/>
        <v>44.821877233385166</v>
      </c>
      <c r="AF62" s="165">
        <v>556089.7</v>
      </c>
      <c r="AG62" s="167">
        <f t="shared" si="72"/>
        <v>53.75006693510301</v>
      </c>
      <c r="AH62" s="165">
        <v>637307.3</v>
      </c>
      <c r="AI62" s="167">
        <f t="shared" si="73"/>
        <v>61.60033180479657</v>
      </c>
      <c r="AJ62" s="165">
        <v>705271.16</v>
      </c>
      <c r="AK62" s="167">
        <f t="shared" si="74"/>
        <v>68.1695274294736</v>
      </c>
      <c r="AL62" s="165">
        <v>779904.5</v>
      </c>
      <c r="AM62" s="134">
        <f t="shared" si="75"/>
        <v>74.99905999284344</v>
      </c>
      <c r="AN62" s="196">
        <v>837926</v>
      </c>
      <c r="AO62" s="153">
        <f>AN62/I62*100</f>
        <v>84.56029757358127</v>
      </c>
      <c r="AP62" s="134">
        <f t="shared" si="76"/>
        <v>80.57866359735499</v>
      </c>
      <c r="AQ62" s="166">
        <v>983314.2</v>
      </c>
      <c r="AR62" s="154">
        <f>AQ62/I62*100</f>
        <v>99.23232046783129</v>
      </c>
      <c r="AS62" s="243">
        <f t="shared" si="77"/>
        <v>94.3211488501101</v>
      </c>
      <c r="AT62" s="164">
        <v>989119</v>
      </c>
      <c r="AU62" s="129">
        <f>AT62*100/I62</f>
        <v>99.81811875473863</v>
      </c>
      <c r="AV62" s="101"/>
      <c r="AW62" s="130">
        <v>76718.1</v>
      </c>
      <c r="AX62" s="130">
        <v>62841</v>
      </c>
      <c r="AY62" s="167">
        <f>IF(AW62=0,0,AX62*100/AW62)</f>
        <v>81.9115697599393</v>
      </c>
      <c r="AZ62" s="101"/>
      <c r="BA62" s="103"/>
    </row>
    <row r="63" spans="1:53" s="102" customFormat="1" ht="63.75">
      <c r="A63" s="256"/>
      <c r="B63" s="256"/>
      <c r="C63" s="256"/>
      <c r="D63" s="256"/>
      <c r="E63" s="256"/>
      <c r="F63" s="145" t="s">
        <v>38</v>
      </c>
      <c r="G63" s="179">
        <v>0</v>
      </c>
      <c r="H63" s="179">
        <v>0</v>
      </c>
      <c r="I63" s="180">
        <v>0</v>
      </c>
      <c r="J63" s="180">
        <v>0</v>
      </c>
      <c r="K63" s="180">
        <v>0</v>
      </c>
      <c r="L63" s="165">
        <v>0</v>
      </c>
      <c r="M63" s="165">
        <v>0</v>
      </c>
      <c r="N63" s="165">
        <v>0</v>
      </c>
      <c r="O63" s="130">
        <f>N63</f>
        <v>0</v>
      </c>
      <c r="P63" s="165">
        <v>0</v>
      </c>
      <c r="Q63" s="165">
        <v>0</v>
      </c>
      <c r="R63" s="165">
        <v>0</v>
      </c>
      <c r="S63" s="166"/>
      <c r="T63" s="164">
        <v>0</v>
      </c>
      <c r="U63" s="167">
        <v>0</v>
      </c>
      <c r="V63" s="164">
        <v>0</v>
      </c>
      <c r="W63" s="167">
        <f t="shared" si="67"/>
        <v>0</v>
      </c>
      <c r="X63" s="164">
        <v>0</v>
      </c>
      <c r="Y63" s="167">
        <f t="shared" si="68"/>
        <v>0</v>
      </c>
      <c r="Z63" s="164">
        <v>0</v>
      </c>
      <c r="AA63" s="167">
        <f t="shared" si="69"/>
        <v>0</v>
      </c>
      <c r="AB63" s="164">
        <v>0</v>
      </c>
      <c r="AC63" s="167">
        <f t="shared" si="70"/>
        <v>0</v>
      </c>
      <c r="AD63" s="164"/>
      <c r="AE63" s="167">
        <f t="shared" si="71"/>
        <v>0</v>
      </c>
      <c r="AF63" s="164">
        <v>0</v>
      </c>
      <c r="AG63" s="167">
        <f t="shared" si="72"/>
        <v>0</v>
      </c>
      <c r="AH63" s="164">
        <v>0</v>
      </c>
      <c r="AI63" s="167">
        <f t="shared" si="73"/>
        <v>0</v>
      </c>
      <c r="AJ63" s="164">
        <v>0</v>
      </c>
      <c r="AK63" s="167">
        <f t="shared" si="74"/>
        <v>0</v>
      </c>
      <c r="AL63" s="164">
        <v>0</v>
      </c>
      <c r="AM63" s="134">
        <f t="shared" si="75"/>
        <v>0</v>
      </c>
      <c r="AN63" s="163">
        <v>0</v>
      </c>
      <c r="AO63" s="153">
        <v>0</v>
      </c>
      <c r="AP63" s="134">
        <f t="shared" si="76"/>
        <v>0</v>
      </c>
      <c r="AQ63" s="163"/>
      <c r="AR63" s="154"/>
      <c r="AS63" s="243">
        <f t="shared" si="77"/>
        <v>0</v>
      </c>
      <c r="AT63" s="164">
        <v>0</v>
      </c>
      <c r="AU63" s="292">
        <v>0</v>
      </c>
      <c r="AV63" s="101"/>
      <c r="AW63" s="130">
        <v>0</v>
      </c>
      <c r="AX63" s="130">
        <v>0</v>
      </c>
      <c r="AY63" s="167">
        <v>0</v>
      </c>
      <c r="AZ63" s="101"/>
      <c r="BA63" s="103"/>
    </row>
    <row r="64" spans="1:53" s="102" customFormat="1" ht="51">
      <c r="A64" s="256"/>
      <c r="B64" s="256"/>
      <c r="C64" s="256"/>
      <c r="D64" s="256"/>
      <c r="E64" s="256"/>
      <c r="F64" s="145" t="s">
        <v>23</v>
      </c>
      <c r="G64" s="179">
        <v>0</v>
      </c>
      <c r="H64" s="179">
        <v>0</v>
      </c>
      <c r="I64" s="180">
        <v>0</v>
      </c>
      <c r="J64" s="180">
        <v>0</v>
      </c>
      <c r="K64" s="180">
        <v>0</v>
      </c>
      <c r="L64" s="165">
        <v>0</v>
      </c>
      <c r="M64" s="165">
        <v>0</v>
      </c>
      <c r="N64" s="165">
        <v>0</v>
      </c>
      <c r="O64" s="130">
        <f>N64</f>
        <v>0</v>
      </c>
      <c r="P64" s="165">
        <v>0</v>
      </c>
      <c r="Q64" s="165">
        <v>0</v>
      </c>
      <c r="R64" s="165">
        <v>0</v>
      </c>
      <c r="S64" s="166"/>
      <c r="T64" s="164">
        <v>0</v>
      </c>
      <c r="U64" s="167">
        <v>0</v>
      </c>
      <c r="V64" s="164">
        <v>0</v>
      </c>
      <c r="W64" s="167">
        <f t="shared" si="67"/>
        <v>0</v>
      </c>
      <c r="X64" s="164">
        <v>0</v>
      </c>
      <c r="Y64" s="167">
        <f t="shared" si="68"/>
        <v>0</v>
      </c>
      <c r="Z64" s="164">
        <v>0</v>
      </c>
      <c r="AA64" s="167">
        <f t="shared" si="69"/>
        <v>0</v>
      </c>
      <c r="AB64" s="164">
        <v>0</v>
      </c>
      <c r="AC64" s="167">
        <f t="shared" si="70"/>
        <v>0</v>
      </c>
      <c r="AD64" s="164"/>
      <c r="AE64" s="167">
        <f t="shared" si="71"/>
        <v>0</v>
      </c>
      <c r="AF64" s="164">
        <v>0</v>
      </c>
      <c r="AG64" s="167">
        <f t="shared" si="72"/>
        <v>0</v>
      </c>
      <c r="AH64" s="164">
        <v>0</v>
      </c>
      <c r="AI64" s="167">
        <f t="shared" si="73"/>
        <v>0</v>
      </c>
      <c r="AJ64" s="164">
        <v>0</v>
      </c>
      <c r="AK64" s="167">
        <f t="shared" si="74"/>
        <v>0</v>
      </c>
      <c r="AL64" s="164">
        <v>0</v>
      </c>
      <c r="AM64" s="134">
        <f t="shared" si="75"/>
        <v>0</v>
      </c>
      <c r="AN64" s="163">
        <v>0</v>
      </c>
      <c r="AO64" s="153">
        <v>0</v>
      </c>
      <c r="AP64" s="134">
        <f t="shared" si="76"/>
        <v>0</v>
      </c>
      <c r="AQ64" s="163"/>
      <c r="AR64" s="154"/>
      <c r="AS64" s="243">
        <f t="shared" si="77"/>
        <v>0</v>
      </c>
      <c r="AT64" s="164">
        <v>0</v>
      </c>
      <c r="AU64" s="292">
        <v>0</v>
      </c>
      <c r="AV64" s="101"/>
      <c r="AW64" s="130">
        <v>0</v>
      </c>
      <c r="AX64" s="130">
        <v>0</v>
      </c>
      <c r="AY64" s="167">
        <v>0</v>
      </c>
      <c r="AZ64" s="101"/>
      <c r="BA64" s="103"/>
    </row>
    <row r="65" spans="1:53" s="102" customFormat="1" ht="38.25">
      <c r="A65" s="256"/>
      <c r="B65" s="256"/>
      <c r="C65" s="256"/>
      <c r="D65" s="256"/>
      <c r="E65" s="256"/>
      <c r="F65" s="145" t="s">
        <v>9</v>
      </c>
      <c r="G65" s="179">
        <v>615617.3</v>
      </c>
      <c r="H65" s="179">
        <v>615617.3</v>
      </c>
      <c r="I65" s="180">
        <v>615617.3</v>
      </c>
      <c r="J65" s="180">
        <v>615617.3</v>
      </c>
      <c r="K65" s="180">
        <v>615617.3</v>
      </c>
      <c r="L65" s="165">
        <v>615617.3</v>
      </c>
      <c r="M65" s="165">
        <v>615617.3</v>
      </c>
      <c r="N65" s="165">
        <v>615617.3</v>
      </c>
      <c r="O65" s="130">
        <f>N65</f>
        <v>615617.3</v>
      </c>
      <c r="P65" s="165">
        <v>615617.3</v>
      </c>
      <c r="Q65" s="165">
        <v>615617.3</v>
      </c>
      <c r="R65" s="165">
        <v>615617.3</v>
      </c>
      <c r="S65" s="166">
        <v>615617.3</v>
      </c>
      <c r="T65" s="164">
        <v>0</v>
      </c>
      <c r="U65" s="167">
        <v>0</v>
      </c>
      <c r="V65" s="164">
        <v>8636.3</v>
      </c>
      <c r="W65" s="167">
        <f t="shared" si="67"/>
        <v>1.4028683079569073</v>
      </c>
      <c r="X65" s="164">
        <v>8636.3</v>
      </c>
      <c r="Y65" s="167">
        <f t="shared" si="68"/>
        <v>1.4028683079569073</v>
      </c>
      <c r="Z65" s="164">
        <v>160122.7</v>
      </c>
      <c r="AA65" s="167">
        <f t="shared" si="69"/>
        <v>26.010104004549582</v>
      </c>
      <c r="AB65" s="164">
        <v>160122.7</v>
      </c>
      <c r="AC65" s="167">
        <f t="shared" si="70"/>
        <v>26.010104004549582</v>
      </c>
      <c r="AD65" s="164">
        <v>160122.7</v>
      </c>
      <c r="AE65" s="167">
        <f t="shared" si="71"/>
        <v>26.010104004549582</v>
      </c>
      <c r="AF65" s="164">
        <v>354356.8</v>
      </c>
      <c r="AG65" s="167">
        <f t="shared" si="72"/>
        <v>57.56121538494776</v>
      </c>
      <c r="AH65" s="164">
        <v>354356.8</v>
      </c>
      <c r="AI65" s="167">
        <f t="shared" si="73"/>
        <v>57.56121538494776</v>
      </c>
      <c r="AJ65" s="164">
        <v>386843.2</v>
      </c>
      <c r="AK65" s="167">
        <f t="shared" si="74"/>
        <v>62.838260068389886</v>
      </c>
      <c r="AL65" s="164">
        <v>447014.2</v>
      </c>
      <c r="AM65" s="134">
        <f t="shared" si="75"/>
        <v>72.61235186210654</v>
      </c>
      <c r="AN65" s="163">
        <v>472801</v>
      </c>
      <c r="AO65" s="153">
        <f>AN65/I65*100</f>
        <v>76.80112303536629</v>
      </c>
      <c r="AP65" s="134">
        <f t="shared" si="76"/>
        <v>76.80112303536629</v>
      </c>
      <c r="AQ65" s="163">
        <v>613154.8</v>
      </c>
      <c r="AR65" s="154">
        <f>AQ65/I65*100</f>
        <v>99.59999499689174</v>
      </c>
      <c r="AS65" s="243">
        <f t="shared" si="77"/>
        <v>99.59999499689174</v>
      </c>
      <c r="AT65" s="164">
        <v>613154.8</v>
      </c>
      <c r="AU65" s="129">
        <f>AT65*100/I65</f>
        <v>99.59999499689174</v>
      </c>
      <c r="AV65" s="101"/>
      <c r="AW65" s="130">
        <v>142816.3</v>
      </c>
      <c r="AX65" s="130">
        <v>140353.8</v>
      </c>
      <c r="AY65" s="167">
        <f>IF(AW65=0,0,AX65*100/AW65)</f>
        <v>98.27575703893743</v>
      </c>
      <c r="AZ65" s="101"/>
      <c r="BA65" s="103"/>
    </row>
    <row r="66" spans="1:53" s="102" customFormat="1" ht="409.5">
      <c r="A66" s="124" t="s">
        <v>90</v>
      </c>
      <c r="B66" s="124">
        <v>8</v>
      </c>
      <c r="C66" s="145" t="s">
        <v>63</v>
      </c>
      <c r="D66" s="201" t="s">
        <v>191</v>
      </c>
      <c r="E66" s="124" t="s">
        <v>31</v>
      </c>
      <c r="F66" s="128" t="s">
        <v>26</v>
      </c>
      <c r="G66" s="149">
        <f aca="true" t="shared" si="78" ref="G66:T66">SUM(G68:G72)</f>
        <v>1950205.4</v>
      </c>
      <c r="H66" s="149">
        <f t="shared" si="78"/>
        <v>1950205.4</v>
      </c>
      <c r="I66" s="149">
        <f t="shared" si="78"/>
        <v>2494883.7</v>
      </c>
      <c r="J66" s="149">
        <f t="shared" si="78"/>
        <v>1944170.7000000002</v>
      </c>
      <c r="K66" s="149">
        <f t="shared" si="78"/>
        <v>1950205.4</v>
      </c>
      <c r="L66" s="149">
        <f t="shared" si="78"/>
        <v>1950205.4</v>
      </c>
      <c r="M66" s="149">
        <f t="shared" si="78"/>
        <v>1950205.4</v>
      </c>
      <c r="N66" s="149">
        <f t="shared" si="78"/>
        <v>1950205.4</v>
      </c>
      <c r="O66" s="149">
        <f t="shared" si="78"/>
        <v>1950205.4</v>
      </c>
      <c r="P66" s="149">
        <f t="shared" si="78"/>
        <v>1950205.4</v>
      </c>
      <c r="Q66" s="149">
        <f t="shared" si="78"/>
        <v>2268883.7</v>
      </c>
      <c r="R66" s="149">
        <f t="shared" si="78"/>
        <v>2268883.7</v>
      </c>
      <c r="S66" s="152">
        <f t="shared" si="78"/>
        <v>2505054.4000000004</v>
      </c>
      <c r="T66" s="149">
        <f t="shared" si="78"/>
        <v>23868</v>
      </c>
      <c r="U66" s="150">
        <f>SUM(T66/G66*100)</f>
        <v>1.2238710855789858</v>
      </c>
      <c r="V66" s="149">
        <f>SUM(V68:V72)</f>
        <v>204689.7</v>
      </c>
      <c r="W66" s="150">
        <f t="shared" si="67"/>
        <v>10.49580213448286</v>
      </c>
      <c r="X66" s="149">
        <f>SUM(X68:X72)</f>
        <v>366685.7</v>
      </c>
      <c r="Y66" s="150">
        <f t="shared" si="68"/>
        <v>18.86077698835807</v>
      </c>
      <c r="Z66" s="149">
        <f>SUM(Z68:Z72)</f>
        <v>770432.7</v>
      </c>
      <c r="AA66" s="150">
        <f t="shared" si="69"/>
        <v>39.50520801552493</v>
      </c>
      <c r="AB66" s="149">
        <f>SUM(AB68:AB72)</f>
        <v>935954.7000000001</v>
      </c>
      <c r="AC66" s="150">
        <f t="shared" si="70"/>
        <v>47.99262170025783</v>
      </c>
      <c r="AD66" s="149">
        <f>SUM(AD68:AD72)</f>
        <v>1051527.19</v>
      </c>
      <c r="AE66" s="151">
        <f t="shared" si="71"/>
        <v>53.91879183597789</v>
      </c>
      <c r="AF66" s="149">
        <f>SUM(AF68:AF72)</f>
        <v>1344432.5</v>
      </c>
      <c r="AG66" s="150">
        <f t="shared" si="72"/>
        <v>68.93799494145591</v>
      </c>
      <c r="AH66" s="149">
        <f>SUM(AH68:AH72)</f>
        <v>1426512.3</v>
      </c>
      <c r="AI66" s="150">
        <f t="shared" si="73"/>
        <v>73.14677212974593</v>
      </c>
      <c r="AJ66" s="149">
        <f>SUM(AJ68:AJ72)</f>
        <v>1626076</v>
      </c>
      <c r="AK66" s="150">
        <f t="shared" si="74"/>
        <v>83.3797301556031</v>
      </c>
      <c r="AL66" s="149">
        <f>SUM(AL68:AL72)</f>
        <v>1857571.2</v>
      </c>
      <c r="AM66" s="150">
        <f t="shared" si="75"/>
        <v>81.87159174355212</v>
      </c>
      <c r="AN66" s="152">
        <f>SUM(AN68:AN72)</f>
        <v>1939872.3</v>
      </c>
      <c r="AO66" s="153">
        <f>AN66/I66*100</f>
        <v>77.75401715118024</v>
      </c>
      <c r="AP66" s="150">
        <f t="shared" si="76"/>
        <v>85.49897467199398</v>
      </c>
      <c r="AQ66" s="152">
        <f>SUM(AQ68:AQ72)</f>
        <v>2504980.0999999996</v>
      </c>
      <c r="AR66" s="154">
        <f>AQ66/I66*100</f>
        <v>100.40468419429729</v>
      </c>
      <c r="AS66" s="189">
        <f t="shared" si="77"/>
        <v>99.99703399654712</v>
      </c>
      <c r="AT66" s="190">
        <f>SUM(AT68:AT72)</f>
        <v>2494883.7</v>
      </c>
      <c r="AU66" s="129">
        <f>AT66*100/I66</f>
        <v>100</v>
      </c>
      <c r="AV66" s="215" t="s">
        <v>220</v>
      </c>
      <c r="AW66" s="216">
        <f>SUM(AW68:AW72)</f>
        <v>539865.6000000001</v>
      </c>
      <c r="AX66" s="217">
        <f>SUM(AX68:AX72)</f>
        <v>565107.8</v>
      </c>
      <c r="AY66" s="134">
        <f>IF(AW66=0,0,AX66*100/AW66)</f>
        <v>104.67564519761955</v>
      </c>
      <c r="AZ66" s="204"/>
      <c r="BA66" s="103">
        <f aca="true" t="shared" si="79" ref="BA66:BA85">SUM(AX66+AN66)</f>
        <v>2504980.1</v>
      </c>
    </row>
    <row r="67" spans="1:53" s="102" customFormat="1" ht="25.5">
      <c r="A67" s="256"/>
      <c r="B67" s="256"/>
      <c r="C67" s="256"/>
      <c r="D67" s="256"/>
      <c r="E67" s="256"/>
      <c r="F67" s="136" t="s">
        <v>29</v>
      </c>
      <c r="G67" s="137"/>
      <c r="H67" s="137"/>
      <c r="I67" s="137"/>
      <c r="J67" s="137"/>
      <c r="K67" s="137"/>
      <c r="L67" s="137"/>
      <c r="M67" s="137"/>
      <c r="N67" s="137"/>
      <c r="O67" s="137"/>
      <c r="P67" s="137"/>
      <c r="Q67" s="137"/>
      <c r="R67" s="137"/>
      <c r="S67" s="139"/>
      <c r="T67" s="137"/>
      <c r="U67" s="137"/>
      <c r="V67" s="137"/>
      <c r="W67" s="137"/>
      <c r="X67" s="137"/>
      <c r="Y67" s="137"/>
      <c r="Z67" s="137"/>
      <c r="AA67" s="137"/>
      <c r="AB67" s="137"/>
      <c r="AC67" s="137"/>
      <c r="AD67" s="137"/>
      <c r="AE67" s="138"/>
      <c r="AF67" s="137"/>
      <c r="AG67" s="137"/>
      <c r="AH67" s="137"/>
      <c r="AI67" s="137"/>
      <c r="AJ67" s="137"/>
      <c r="AK67" s="137"/>
      <c r="AL67" s="137"/>
      <c r="AM67" s="137"/>
      <c r="AN67" s="139"/>
      <c r="AO67" s="138"/>
      <c r="AP67" s="137"/>
      <c r="AQ67" s="139"/>
      <c r="AR67" s="140"/>
      <c r="AS67" s="139"/>
      <c r="AT67" s="142"/>
      <c r="AU67" s="143"/>
      <c r="AV67" s="101"/>
      <c r="AW67" s="206"/>
      <c r="AX67" s="207"/>
      <c r="AY67" s="193"/>
      <c r="AZ67" s="101"/>
      <c r="BA67" s="103">
        <f t="shared" si="79"/>
        <v>0</v>
      </c>
    </row>
    <row r="68" spans="1:53" s="102" customFormat="1" ht="38.25">
      <c r="A68" s="256"/>
      <c r="B68" s="256"/>
      <c r="C68" s="256"/>
      <c r="D68" s="256"/>
      <c r="E68" s="256"/>
      <c r="F68" s="144" t="s">
        <v>27</v>
      </c>
      <c r="G68" s="179">
        <v>936.2</v>
      </c>
      <c r="H68" s="179">
        <v>936.2</v>
      </c>
      <c r="I68" s="180">
        <v>11753.6</v>
      </c>
      <c r="J68" s="180">
        <v>8715.1</v>
      </c>
      <c r="K68" s="180">
        <v>936.2</v>
      </c>
      <c r="L68" s="180">
        <v>936.2</v>
      </c>
      <c r="M68" s="180">
        <v>936.2</v>
      </c>
      <c r="N68" s="180">
        <v>936.2</v>
      </c>
      <c r="O68" s="180">
        <f aca="true" t="shared" si="80" ref="O68:P72">N68</f>
        <v>936.2</v>
      </c>
      <c r="P68" s="180">
        <f t="shared" si="80"/>
        <v>936.2</v>
      </c>
      <c r="Q68" s="197">
        <v>11753.6</v>
      </c>
      <c r="R68" s="197">
        <v>11753.6</v>
      </c>
      <c r="S68" s="198">
        <v>21924.3</v>
      </c>
      <c r="T68" s="197">
        <v>0</v>
      </c>
      <c r="U68" s="167">
        <f>SUM(T68/G68*100)</f>
        <v>0</v>
      </c>
      <c r="V68" s="197">
        <v>0</v>
      </c>
      <c r="W68" s="167">
        <f>IF(H68=0,0,V68*100/H68)</f>
        <v>0</v>
      </c>
      <c r="X68" s="197">
        <v>0</v>
      </c>
      <c r="Y68" s="167">
        <f>IF(J68=0,0,X68*100/J68)</f>
        <v>0</v>
      </c>
      <c r="Z68" s="197">
        <v>0</v>
      </c>
      <c r="AA68" s="167">
        <f>IF(K68=0,0,Z68*100/K68)</f>
        <v>0</v>
      </c>
      <c r="AB68" s="197">
        <v>4083.8</v>
      </c>
      <c r="AC68" s="167">
        <f>IF(L68=0,0,AB68*100/L68)</f>
        <v>436.21021149327066</v>
      </c>
      <c r="AD68" s="218">
        <v>4808.018</v>
      </c>
      <c r="AE68" s="167">
        <f>IF(O68=0,0,AD68*100/O68)</f>
        <v>513.5674001281777</v>
      </c>
      <c r="AF68" s="197">
        <v>8490.7</v>
      </c>
      <c r="AG68" s="167">
        <f>IF(N68=0,0,AF68*100/N68)</f>
        <v>906.9322794274728</v>
      </c>
      <c r="AH68" s="197">
        <v>8896.5</v>
      </c>
      <c r="AI68" s="167">
        <f aca="true" t="shared" si="81" ref="AI68:AI73">IF(O68=0,0,AH68*100/O68)</f>
        <v>950.2777184362316</v>
      </c>
      <c r="AJ68" s="197">
        <v>9488.7</v>
      </c>
      <c r="AK68" s="167">
        <f aca="true" t="shared" si="82" ref="AK68:AK73">IF(P68=0,0,AJ68*100/P68)</f>
        <v>1013.5334330271311</v>
      </c>
      <c r="AL68" s="197">
        <v>9588.2</v>
      </c>
      <c r="AM68" s="134">
        <f aca="true" t="shared" si="83" ref="AM68:AM73">IF(Q68=0,0,AL68*100/Q68)</f>
        <v>81.57670841274164</v>
      </c>
      <c r="AN68" s="198">
        <v>10916.8</v>
      </c>
      <c r="AO68" s="153">
        <f>AN68/I68*100</f>
        <v>92.88047917233868</v>
      </c>
      <c r="AP68" s="134">
        <f aca="true" t="shared" si="84" ref="AP68:AP73">IF(R68=0,0,AN68*100/R68)</f>
        <v>92.88047917233868</v>
      </c>
      <c r="AQ68" s="198">
        <v>21924.2</v>
      </c>
      <c r="AR68" s="154">
        <f>AQ68/I68*100</f>
        <v>186.53178600598966</v>
      </c>
      <c r="AS68" s="243">
        <f aca="true" t="shared" si="85" ref="AS68:AS73">IF(S68=0,0,AQ68*100/S68)</f>
        <v>99.99954388509553</v>
      </c>
      <c r="AT68" s="197">
        <v>11753.6</v>
      </c>
      <c r="AU68" s="129">
        <f>AT68*100/I68</f>
        <v>100</v>
      </c>
      <c r="AV68" s="101"/>
      <c r="AW68" s="208">
        <v>10170.7</v>
      </c>
      <c r="AX68" s="209">
        <v>11007.4</v>
      </c>
      <c r="AY68" s="167">
        <f aca="true" t="shared" si="86" ref="AY68:AY73">IF(AW68=0,0,AX68*100/AW68)</f>
        <v>108.22657240897873</v>
      </c>
      <c r="AZ68" s="101"/>
      <c r="BA68" s="103">
        <f t="shared" si="79"/>
        <v>21924.199999999997</v>
      </c>
    </row>
    <row r="69" spans="1:53" s="102" customFormat="1" ht="51">
      <c r="A69" s="256"/>
      <c r="B69" s="256"/>
      <c r="C69" s="256"/>
      <c r="D69" s="256"/>
      <c r="E69" s="256"/>
      <c r="F69" s="145" t="s">
        <v>30</v>
      </c>
      <c r="G69" s="179">
        <v>1317715.2</v>
      </c>
      <c r="H69" s="179">
        <v>1317715.2</v>
      </c>
      <c r="I69" s="180">
        <v>1857961.6</v>
      </c>
      <c r="J69" s="180">
        <v>1303961.6</v>
      </c>
      <c r="K69" s="180">
        <v>1317715.2</v>
      </c>
      <c r="L69" s="180">
        <v>1317715.2</v>
      </c>
      <c r="M69" s="180">
        <v>1317715.2</v>
      </c>
      <c r="N69" s="180">
        <v>1317715.2</v>
      </c>
      <c r="O69" s="130">
        <f t="shared" si="80"/>
        <v>1317715.2</v>
      </c>
      <c r="P69" s="130">
        <f t="shared" si="80"/>
        <v>1317715.2</v>
      </c>
      <c r="Q69" s="165">
        <v>1631961.6</v>
      </c>
      <c r="R69" s="165">
        <v>1631961.6</v>
      </c>
      <c r="S69" s="166">
        <v>1857961.6</v>
      </c>
      <c r="T69" s="165">
        <v>23868</v>
      </c>
      <c r="U69" s="167">
        <f>SUM(T69/G69*100)</f>
        <v>1.811317043318617</v>
      </c>
      <c r="V69" s="165">
        <v>190866.7</v>
      </c>
      <c r="W69" s="167">
        <f>IF(H69=0,0,V69*100/H69)</f>
        <v>14.484670132058886</v>
      </c>
      <c r="X69" s="165">
        <v>351758.7</v>
      </c>
      <c r="Y69" s="167">
        <f>IF(J69=0,0,X69*100/J69)</f>
        <v>26.97615481928302</v>
      </c>
      <c r="Z69" s="165">
        <v>473836.7</v>
      </c>
      <c r="AA69" s="167">
        <f>IF(K69=0,0,Z69*100/K69)</f>
        <v>35.95896139013954</v>
      </c>
      <c r="AB69" s="165">
        <v>617064.9</v>
      </c>
      <c r="AC69" s="167">
        <f>IF(L69=0,0,AB69*100/L69)</f>
        <v>46.82839660648978</v>
      </c>
      <c r="AD69" s="165">
        <v>718688.172</v>
      </c>
      <c r="AE69" s="167">
        <f>IF(O69=0,0,AD69*100/O69)</f>
        <v>54.54047824598214</v>
      </c>
      <c r="AF69" s="165">
        <v>848891.6</v>
      </c>
      <c r="AG69" s="167">
        <f>IF(N69=0,0,AF69*100/N69)</f>
        <v>64.4214774178821</v>
      </c>
      <c r="AH69" s="165">
        <v>922288.3</v>
      </c>
      <c r="AI69" s="167">
        <f t="shared" si="81"/>
        <v>69.99147463731161</v>
      </c>
      <c r="AJ69" s="165">
        <v>1112015.8</v>
      </c>
      <c r="AK69" s="167">
        <f t="shared" si="82"/>
        <v>84.38969209735154</v>
      </c>
      <c r="AL69" s="165">
        <v>1341091.5</v>
      </c>
      <c r="AM69" s="134">
        <f t="shared" si="83"/>
        <v>82.17665783312547</v>
      </c>
      <c r="AN69" s="166">
        <v>1414270</v>
      </c>
      <c r="AO69" s="153">
        <f>AN69/I69*100</f>
        <v>76.11944186575222</v>
      </c>
      <c r="AP69" s="134">
        <f t="shared" si="84"/>
        <v>86.66074005662878</v>
      </c>
      <c r="AQ69" s="166">
        <v>1857887.4</v>
      </c>
      <c r="AR69" s="154">
        <f>AQ69/I69*100</f>
        <v>99.99600637601982</v>
      </c>
      <c r="AS69" s="243">
        <f t="shared" si="85"/>
        <v>99.99600637601982</v>
      </c>
      <c r="AT69" s="165">
        <v>1857961.6</v>
      </c>
      <c r="AU69" s="129">
        <f>AT69*100/I69</f>
        <v>100</v>
      </c>
      <c r="AV69" s="101"/>
      <c r="AW69" s="210">
        <v>419211.9</v>
      </c>
      <c r="AX69" s="211">
        <v>443617.4</v>
      </c>
      <c r="AY69" s="130">
        <f t="shared" si="86"/>
        <v>105.82175744533968</v>
      </c>
      <c r="AZ69" s="101"/>
      <c r="BA69" s="103">
        <f t="shared" si="79"/>
        <v>1857887.4</v>
      </c>
    </row>
    <row r="70" spans="1:53" s="102" customFormat="1" ht="63.75">
      <c r="A70" s="256"/>
      <c r="B70" s="256"/>
      <c r="C70" s="256"/>
      <c r="D70" s="256"/>
      <c r="E70" s="256"/>
      <c r="F70" s="145" t="s">
        <v>38</v>
      </c>
      <c r="G70" s="179">
        <v>0</v>
      </c>
      <c r="H70" s="179">
        <v>0</v>
      </c>
      <c r="I70" s="180">
        <v>0</v>
      </c>
      <c r="J70" s="180">
        <v>0</v>
      </c>
      <c r="K70" s="180">
        <v>0</v>
      </c>
      <c r="L70" s="180">
        <v>0</v>
      </c>
      <c r="M70" s="180">
        <v>0</v>
      </c>
      <c r="N70" s="180">
        <v>0</v>
      </c>
      <c r="O70" s="130">
        <f t="shared" si="80"/>
        <v>0</v>
      </c>
      <c r="P70" s="130">
        <f t="shared" si="80"/>
        <v>0</v>
      </c>
      <c r="Q70" s="165">
        <v>0</v>
      </c>
      <c r="R70" s="165">
        <v>0</v>
      </c>
      <c r="S70" s="166">
        <v>0</v>
      </c>
      <c r="T70" s="165">
        <v>0</v>
      </c>
      <c r="U70" s="167">
        <v>0</v>
      </c>
      <c r="V70" s="165">
        <v>0</v>
      </c>
      <c r="W70" s="167">
        <f>IF(H70=0,0,V70*100/H70)</f>
        <v>0</v>
      </c>
      <c r="X70" s="165">
        <v>0</v>
      </c>
      <c r="Y70" s="167">
        <f>IF(J70=0,0,X70*100/J70)</f>
        <v>0</v>
      </c>
      <c r="Z70" s="165">
        <v>0</v>
      </c>
      <c r="AA70" s="167">
        <f>IF(K70=0,0,Z70*100/K70)</f>
        <v>0</v>
      </c>
      <c r="AB70" s="165">
        <v>0</v>
      </c>
      <c r="AC70" s="167">
        <f>IF(L70=0,0,AB70*100/L70)</f>
        <v>0</v>
      </c>
      <c r="AD70" s="165">
        <v>0</v>
      </c>
      <c r="AE70" s="167">
        <f>IF(O70=0,0,AD70*100/O70)</f>
        <v>0</v>
      </c>
      <c r="AF70" s="165">
        <v>0</v>
      </c>
      <c r="AG70" s="167">
        <f>IF(N70=0,0,AF70*100/N70)</f>
        <v>0</v>
      </c>
      <c r="AH70" s="165">
        <v>0</v>
      </c>
      <c r="AI70" s="167">
        <f t="shared" si="81"/>
        <v>0</v>
      </c>
      <c r="AJ70" s="165">
        <v>0</v>
      </c>
      <c r="AK70" s="167">
        <f t="shared" si="82"/>
        <v>0</v>
      </c>
      <c r="AL70" s="165">
        <v>0</v>
      </c>
      <c r="AM70" s="134">
        <f t="shared" si="83"/>
        <v>0</v>
      </c>
      <c r="AN70" s="166">
        <v>0</v>
      </c>
      <c r="AO70" s="153">
        <v>0</v>
      </c>
      <c r="AP70" s="134">
        <f t="shared" si="84"/>
        <v>0</v>
      </c>
      <c r="AQ70" s="166">
        <v>0</v>
      </c>
      <c r="AR70" s="154">
        <v>0</v>
      </c>
      <c r="AS70" s="243">
        <f t="shared" si="85"/>
        <v>0</v>
      </c>
      <c r="AT70" s="165">
        <v>0</v>
      </c>
      <c r="AU70" s="292">
        <v>0</v>
      </c>
      <c r="AV70" s="101"/>
      <c r="AW70" s="210">
        <v>0</v>
      </c>
      <c r="AX70" s="211">
        <v>0</v>
      </c>
      <c r="AY70" s="167">
        <f t="shared" si="86"/>
        <v>0</v>
      </c>
      <c r="AZ70" s="101"/>
      <c r="BA70" s="103">
        <f t="shared" si="79"/>
        <v>0</v>
      </c>
    </row>
    <row r="71" spans="1:53" s="102" customFormat="1" ht="51">
      <c r="A71" s="256"/>
      <c r="B71" s="256"/>
      <c r="C71" s="256"/>
      <c r="D71" s="256"/>
      <c r="E71" s="256"/>
      <c r="F71" s="145" t="s">
        <v>23</v>
      </c>
      <c r="G71" s="179">
        <v>18000</v>
      </c>
      <c r="H71" s="179">
        <v>18000</v>
      </c>
      <c r="I71" s="180">
        <v>18000</v>
      </c>
      <c r="J71" s="180">
        <v>18000</v>
      </c>
      <c r="K71" s="180">
        <v>18000</v>
      </c>
      <c r="L71" s="180">
        <v>18000</v>
      </c>
      <c r="M71" s="180">
        <v>18000</v>
      </c>
      <c r="N71" s="180">
        <v>18000</v>
      </c>
      <c r="O71" s="130">
        <f t="shared" si="80"/>
        <v>18000</v>
      </c>
      <c r="P71" s="130">
        <f t="shared" si="80"/>
        <v>18000</v>
      </c>
      <c r="Q71" s="165">
        <v>18000</v>
      </c>
      <c r="R71" s="165">
        <v>18000</v>
      </c>
      <c r="S71" s="166">
        <v>18000</v>
      </c>
      <c r="T71" s="165">
        <v>0</v>
      </c>
      <c r="U71" s="167">
        <f>SUM(T71/G71*100)</f>
        <v>0</v>
      </c>
      <c r="V71" s="165">
        <v>0</v>
      </c>
      <c r="W71" s="167">
        <f>IF(H71=0,0,V71*100/H71)</f>
        <v>0</v>
      </c>
      <c r="X71" s="165">
        <v>0</v>
      </c>
      <c r="Y71" s="167">
        <f>IF(J71=0,0,X71*100/J71)</f>
        <v>0</v>
      </c>
      <c r="Z71" s="165">
        <v>0</v>
      </c>
      <c r="AA71" s="167">
        <f>IF(K71=0,0,Z71*100/K71)</f>
        <v>0</v>
      </c>
      <c r="AB71" s="165">
        <v>0</v>
      </c>
      <c r="AC71" s="167">
        <f>IF(L71=0,0,AB71*100/L71)</f>
        <v>0</v>
      </c>
      <c r="AD71" s="165">
        <v>2000</v>
      </c>
      <c r="AE71" s="167">
        <f>IF(O71=0,0,AD71*100/O71)</f>
        <v>11.11111111111111</v>
      </c>
      <c r="AF71" s="165">
        <v>6443.7</v>
      </c>
      <c r="AG71" s="167">
        <f>IF(N71=0,0,AF71*100/N71)</f>
        <v>35.79833333333333</v>
      </c>
      <c r="AH71" s="165">
        <v>6715</v>
      </c>
      <c r="AI71" s="167">
        <f t="shared" si="81"/>
        <v>37.30555555555556</v>
      </c>
      <c r="AJ71" s="165">
        <v>6715</v>
      </c>
      <c r="AK71" s="167">
        <f t="shared" si="82"/>
        <v>37.30555555555556</v>
      </c>
      <c r="AL71" s="165">
        <v>6715</v>
      </c>
      <c r="AM71" s="134">
        <f t="shared" si="83"/>
        <v>37.30555555555556</v>
      </c>
      <c r="AN71" s="166">
        <v>6715</v>
      </c>
      <c r="AO71" s="153">
        <f>AN71/I71*100</f>
        <v>37.30555555555555</v>
      </c>
      <c r="AP71" s="134">
        <f t="shared" si="84"/>
        <v>37.30555555555556</v>
      </c>
      <c r="AQ71" s="166">
        <v>18000</v>
      </c>
      <c r="AR71" s="154">
        <f>AQ71/I71*100</f>
        <v>100</v>
      </c>
      <c r="AS71" s="243">
        <f t="shared" si="85"/>
        <v>100</v>
      </c>
      <c r="AT71" s="165">
        <v>18000</v>
      </c>
      <c r="AU71" s="129">
        <f>AT71*100/I71</f>
        <v>100</v>
      </c>
      <c r="AV71" s="101"/>
      <c r="AW71" s="210">
        <v>11285</v>
      </c>
      <c r="AX71" s="211">
        <v>11285</v>
      </c>
      <c r="AY71" s="167">
        <f t="shared" si="86"/>
        <v>100</v>
      </c>
      <c r="AZ71" s="101"/>
      <c r="BA71" s="103">
        <f t="shared" si="79"/>
        <v>18000</v>
      </c>
    </row>
    <row r="72" spans="1:53" s="102" customFormat="1" ht="38.25">
      <c r="A72" s="256"/>
      <c r="B72" s="256"/>
      <c r="C72" s="256"/>
      <c r="D72" s="256"/>
      <c r="E72" s="256"/>
      <c r="F72" s="205" t="s">
        <v>44</v>
      </c>
      <c r="G72" s="179">
        <v>613554</v>
      </c>
      <c r="H72" s="179">
        <v>613554</v>
      </c>
      <c r="I72" s="180">
        <v>607168.5</v>
      </c>
      <c r="J72" s="180">
        <v>613494</v>
      </c>
      <c r="K72" s="180">
        <v>613554</v>
      </c>
      <c r="L72" s="180">
        <v>613554</v>
      </c>
      <c r="M72" s="180">
        <v>613554</v>
      </c>
      <c r="N72" s="180">
        <v>613554</v>
      </c>
      <c r="O72" s="130">
        <f t="shared" si="80"/>
        <v>613554</v>
      </c>
      <c r="P72" s="130">
        <f t="shared" si="80"/>
        <v>613554</v>
      </c>
      <c r="Q72" s="165">
        <v>607168.5</v>
      </c>
      <c r="R72" s="165">
        <v>607168.5</v>
      </c>
      <c r="S72" s="166">
        <v>607168.5</v>
      </c>
      <c r="T72" s="165">
        <v>0</v>
      </c>
      <c r="U72" s="167">
        <f>SUM(T72/G72*100)</f>
        <v>0</v>
      </c>
      <c r="V72" s="165">
        <v>13823</v>
      </c>
      <c r="W72" s="167">
        <f>IF(H72=0,0,V72*100/H72)</f>
        <v>2.252939431574075</v>
      </c>
      <c r="X72" s="165">
        <v>14927</v>
      </c>
      <c r="Y72" s="167">
        <f>IF(J72=0,0,X72*100/J72)</f>
        <v>2.4331126302783725</v>
      </c>
      <c r="Z72" s="165">
        <v>296596</v>
      </c>
      <c r="AA72" s="167">
        <f>IF(K72=0,0,Z72*100/K72)</f>
        <v>48.34065135261118</v>
      </c>
      <c r="AB72" s="165">
        <v>314806</v>
      </c>
      <c r="AC72" s="167">
        <f>IF(L72=0,0,AB72*100/L72)</f>
        <v>51.30860527353745</v>
      </c>
      <c r="AD72" s="165">
        <v>326031</v>
      </c>
      <c r="AE72" s="167">
        <f>IF(O72=0,0,AD72*100/O72)</f>
        <v>53.13811009299915</v>
      </c>
      <c r="AF72" s="165">
        <v>480606.5</v>
      </c>
      <c r="AG72" s="167">
        <f>IF(N72=0,0,AF72*100/N72)</f>
        <v>78.33157309707052</v>
      </c>
      <c r="AH72" s="165">
        <v>488612.5</v>
      </c>
      <c r="AI72" s="167">
        <f t="shared" si="81"/>
        <v>79.63642971930751</v>
      </c>
      <c r="AJ72" s="165">
        <v>497856.5</v>
      </c>
      <c r="AK72" s="167">
        <f t="shared" si="82"/>
        <v>81.14306157241253</v>
      </c>
      <c r="AL72" s="165">
        <v>500176.5</v>
      </c>
      <c r="AM72" s="134">
        <f t="shared" si="83"/>
        <v>82.37853248315747</v>
      </c>
      <c r="AN72" s="166">
        <v>507970.5</v>
      </c>
      <c r="AO72" s="153">
        <f>AN72/I72*100</f>
        <v>83.66219591431374</v>
      </c>
      <c r="AP72" s="134">
        <f t="shared" si="84"/>
        <v>83.66219591431374</v>
      </c>
      <c r="AQ72" s="166">
        <v>607168.5</v>
      </c>
      <c r="AR72" s="154">
        <f>AQ72/I72*100</f>
        <v>100</v>
      </c>
      <c r="AS72" s="243">
        <f t="shared" si="85"/>
        <v>100</v>
      </c>
      <c r="AT72" s="165">
        <v>607168.5</v>
      </c>
      <c r="AU72" s="129">
        <f>AT72*100/I72</f>
        <v>100</v>
      </c>
      <c r="AV72" s="101"/>
      <c r="AW72" s="210">
        <v>99198</v>
      </c>
      <c r="AX72" s="211">
        <v>99198</v>
      </c>
      <c r="AY72" s="167">
        <f t="shared" si="86"/>
        <v>100</v>
      </c>
      <c r="AZ72" s="101"/>
      <c r="BA72" s="103">
        <f t="shared" si="79"/>
        <v>607168.5</v>
      </c>
    </row>
    <row r="73" spans="1:53" s="102" customFormat="1" ht="409.5">
      <c r="A73" s="124" t="s">
        <v>90</v>
      </c>
      <c r="B73" s="124">
        <v>9</v>
      </c>
      <c r="C73" s="135" t="s">
        <v>64</v>
      </c>
      <c r="D73" s="201" t="s">
        <v>190</v>
      </c>
      <c r="E73" s="124" t="s">
        <v>31</v>
      </c>
      <c r="F73" s="128" t="s">
        <v>26</v>
      </c>
      <c r="G73" s="149">
        <f aca="true" t="shared" si="87" ref="G73:AH73">SUM(G75:G79)</f>
        <v>2900797</v>
      </c>
      <c r="H73" s="149">
        <f t="shared" si="87"/>
        <v>2900797</v>
      </c>
      <c r="I73" s="149">
        <f t="shared" si="87"/>
        <v>2873660.1</v>
      </c>
      <c r="J73" s="149">
        <f t="shared" si="87"/>
        <v>2895047</v>
      </c>
      <c r="K73" s="149">
        <f t="shared" si="87"/>
        <v>2895047</v>
      </c>
      <c r="L73" s="149">
        <f t="shared" si="87"/>
        <v>2895047</v>
      </c>
      <c r="M73" s="149">
        <f t="shared" si="87"/>
        <v>2894804</v>
      </c>
      <c r="N73" s="149">
        <f t="shared" si="87"/>
        <v>2894804</v>
      </c>
      <c r="O73" s="149">
        <f t="shared" si="87"/>
        <v>2894804</v>
      </c>
      <c r="P73" s="149">
        <f t="shared" si="87"/>
        <v>2894804</v>
      </c>
      <c r="Q73" s="149">
        <f t="shared" si="87"/>
        <v>3047193</v>
      </c>
      <c r="R73" s="149">
        <f t="shared" si="87"/>
        <v>3047193</v>
      </c>
      <c r="S73" s="152">
        <f t="shared" si="87"/>
        <v>3047193</v>
      </c>
      <c r="T73" s="149">
        <f t="shared" si="87"/>
        <v>69885.2</v>
      </c>
      <c r="U73" s="149">
        <f t="shared" si="87"/>
        <v>3.821195779062958</v>
      </c>
      <c r="V73" s="149">
        <f t="shared" si="87"/>
        <v>152286.3</v>
      </c>
      <c r="W73" s="149">
        <f t="shared" si="87"/>
        <v>8.787762487361125</v>
      </c>
      <c r="X73" s="149">
        <f t="shared" si="87"/>
        <v>302359</v>
      </c>
      <c r="Y73" s="149">
        <f t="shared" si="87"/>
        <v>32.57164816963689</v>
      </c>
      <c r="Z73" s="149">
        <f t="shared" si="87"/>
        <v>513899.4</v>
      </c>
      <c r="AA73" s="149">
        <f t="shared" si="87"/>
        <v>61.0058453098982</v>
      </c>
      <c r="AB73" s="149">
        <f t="shared" si="87"/>
        <v>654334.4</v>
      </c>
      <c r="AC73" s="149">
        <f t="shared" si="87"/>
        <v>71.43041120695584</v>
      </c>
      <c r="AD73" s="149">
        <f t="shared" si="87"/>
        <v>738816.4299999999</v>
      </c>
      <c r="AE73" s="149">
        <f t="shared" si="87"/>
        <v>79.08813248997723</v>
      </c>
      <c r="AF73" s="149">
        <f t="shared" si="87"/>
        <v>1004735.5</v>
      </c>
      <c r="AG73" s="149">
        <f t="shared" si="87"/>
        <v>103.38650833357059</v>
      </c>
      <c r="AH73" s="149">
        <f t="shared" si="87"/>
        <v>1154597.1</v>
      </c>
      <c r="AI73" s="150">
        <f t="shared" si="81"/>
        <v>39.885156300737464</v>
      </c>
      <c r="AJ73" s="149">
        <f>SUM(AJ75:AJ79)</f>
        <v>1321053.018</v>
      </c>
      <c r="AK73" s="150">
        <f t="shared" si="82"/>
        <v>45.635318246071236</v>
      </c>
      <c r="AL73" s="149">
        <f>SUM(AL75:AL79)</f>
        <v>1925622.9</v>
      </c>
      <c r="AM73" s="150">
        <f t="shared" si="83"/>
        <v>63.19333563709289</v>
      </c>
      <c r="AN73" s="152">
        <f>SUM(AN75:AN79)</f>
        <v>2019018.9</v>
      </c>
      <c r="AO73" s="153">
        <f>AN73/I73*100</f>
        <v>70.25948893538244</v>
      </c>
      <c r="AP73" s="150">
        <f t="shared" si="84"/>
        <v>66.25832036237941</v>
      </c>
      <c r="AQ73" s="152">
        <f>SUM(AQ75:AQ79)</f>
        <v>2868243.4</v>
      </c>
      <c r="AR73" s="154">
        <f>AQ73/I73*100</f>
        <v>99.81150519506464</v>
      </c>
      <c r="AS73" s="189">
        <f t="shared" si="85"/>
        <v>94.12739527821178</v>
      </c>
      <c r="AT73" s="190">
        <f>SUM(AT75:AT79)</f>
        <v>2873660.1</v>
      </c>
      <c r="AU73" s="129">
        <f>AT73*100/I73</f>
        <v>100</v>
      </c>
      <c r="AV73" s="215" t="s">
        <v>135</v>
      </c>
      <c r="AW73" s="216">
        <f>SUM(AW75:AW79)</f>
        <v>624354.2</v>
      </c>
      <c r="AX73" s="217">
        <f>SUM(AX75:AX79)</f>
        <v>406929.19999999995</v>
      </c>
      <c r="AY73" s="134">
        <f t="shared" si="86"/>
        <v>65.17601707492317</v>
      </c>
      <c r="AZ73" s="131"/>
      <c r="BA73" s="103">
        <f t="shared" si="79"/>
        <v>2425948.0999999996</v>
      </c>
    </row>
    <row r="74" spans="1:53" s="102" customFormat="1" ht="25.5">
      <c r="A74" s="256"/>
      <c r="B74" s="256"/>
      <c r="C74" s="256"/>
      <c r="D74" s="256"/>
      <c r="E74" s="256"/>
      <c r="F74" s="136" t="s">
        <v>29</v>
      </c>
      <c r="G74" s="137"/>
      <c r="H74" s="137"/>
      <c r="I74" s="137"/>
      <c r="J74" s="137"/>
      <c r="K74" s="137"/>
      <c r="L74" s="137"/>
      <c r="M74" s="137"/>
      <c r="N74" s="137"/>
      <c r="O74" s="137"/>
      <c r="P74" s="137"/>
      <c r="Q74" s="137"/>
      <c r="R74" s="137"/>
      <c r="S74" s="139"/>
      <c r="T74" s="137"/>
      <c r="U74" s="137"/>
      <c r="V74" s="137"/>
      <c r="W74" s="137"/>
      <c r="X74" s="137"/>
      <c r="Y74" s="137"/>
      <c r="Z74" s="137"/>
      <c r="AA74" s="137"/>
      <c r="AB74" s="137"/>
      <c r="AC74" s="137"/>
      <c r="AD74" s="137"/>
      <c r="AE74" s="138"/>
      <c r="AF74" s="137"/>
      <c r="AG74" s="137"/>
      <c r="AH74" s="137"/>
      <c r="AI74" s="137"/>
      <c r="AJ74" s="137"/>
      <c r="AK74" s="137"/>
      <c r="AL74" s="137"/>
      <c r="AM74" s="137"/>
      <c r="AN74" s="139"/>
      <c r="AO74" s="138"/>
      <c r="AP74" s="137"/>
      <c r="AQ74" s="139"/>
      <c r="AR74" s="140"/>
      <c r="AS74" s="139"/>
      <c r="AT74" s="142"/>
      <c r="AU74" s="143"/>
      <c r="AV74" s="101"/>
      <c r="AW74" s="206"/>
      <c r="AX74" s="207"/>
      <c r="AY74" s="193"/>
      <c r="AZ74" s="101"/>
      <c r="BA74" s="103">
        <f t="shared" si="79"/>
        <v>0</v>
      </c>
    </row>
    <row r="75" spans="1:53" s="102" customFormat="1" ht="38.25">
      <c r="A75" s="256"/>
      <c r="B75" s="256"/>
      <c r="C75" s="256"/>
      <c r="D75" s="256"/>
      <c r="E75" s="256"/>
      <c r="F75" s="144" t="s">
        <v>27</v>
      </c>
      <c r="G75" s="179">
        <v>397037.1</v>
      </c>
      <c r="H75" s="179">
        <v>397037.1</v>
      </c>
      <c r="I75" s="180">
        <v>411235.3</v>
      </c>
      <c r="J75" s="180">
        <v>397037.1</v>
      </c>
      <c r="K75" s="180">
        <v>397037.1</v>
      </c>
      <c r="L75" s="180">
        <v>397037.1</v>
      </c>
      <c r="M75" s="180">
        <v>396245.1</v>
      </c>
      <c r="N75" s="180">
        <v>396245.1</v>
      </c>
      <c r="O75" s="180">
        <f>N75</f>
        <v>396245.1</v>
      </c>
      <c r="P75" s="197">
        <v>396245.1</v>
      </c>
      <c r="Q75" s="197">
        <v>411235.3</v>
      </c>
      <c r="R75" s="197">
        <v>411235.3</v>
      </c>
      <c r="S75" s="198">
        <v>411235.3</v>
      </c>
      <c r="T75" s="197">
        <v>0</v>
      </c>
      <c r="U75" s="167">
        <f>SUM(T75/G75*100)</f>
        <v>0</v>
      </c>
      <c r="V75" s="197">
        <v>2338</v>
      </c>
      <c r="W75" s="167">
        <f aca="true" t="shared" si="88" ref="W75:W80">IF(H75=0,0,V75*100/H75)</f>
        <v>0.5888618469155653</v>
      </c>
      <c r="X75" s="197">
        <v>81339.9</v>
      </c>
      <c r="Y75" s="167">
        <f aca="true" t="shared" si="89" ref="Y75:Y80">IF(J75=0,0,X75*100/J75)</f>
        <v>20.486725295948414</v>
      </c>
      <c r="Z75" s="197">
        <v>166880.6</v>
      </c>
      <c r="AA75" s="167">
        <f aca="true" t="shared" si="90" ref="AA75:AA80">IF(K75=0,0,Z75*100/K75)</f>
        <v>42.03148773754393</v>
      </c>
      <c r="AB75" s="197">
        <v>180805.6</v>
      </c>
      <c r="AC75" s="167">
        <f aca="true" t="shared" si="91" ref="AC75:AC80">IF(L75=0,0,AB75*100/L75)</f>
        <v>45.53871665897218</v>
      </c>
      <c r="AD75" s="197">
        <v>195759.69</v>
      </c>
      <c r="AE75" s="167">
        <f aca="true" t="shared" si="92" ref="AE75:AE80">IF(O75=0,0,AD75*100/O75)</f>
        <v>49.40368726326206</v>
      </c>
      <c r="AF75" s="197">
        <v>245139.6</v>
      </c>
      <c r="AG75" s="167">
        <f aca="true" t="shared" si="93" ref="AG75:AG80">IF(N75=0,0,AF75*100/N75)</f>
        <v>61.86564830707055</v>
      </c>
      <c r="AH75" s="197">
        <v>259555.7</v>
      </c>
      <c r="AI75" s="167">
        <f aca="true" t="shared" si="94" ref="AI75:AI80">IF(O75=0,0,AH75*100/O75)</f>
        <v>65.50382578863436</v>
      </c>
      <c r="AJ75" s="165">
        <v>283297.7899999999</v>
      </c>
      <c r="AK75" s="167">
        <f aca="true" t="shared" si="95" ref="AK75:AK80">IF(P75=0,0,AJ75*100/P75)</f>
        <v>71.49559451965462</v>
      </c>
      <c r="AL75" s="197">
        <v>343499.6</v>
      </c>
      <c r="AM75" s="134">
        <f aca="true" t="shared" si="96" ref="AM75:AM80">IF(Q75=0,0,AL75*100/Q75)</f>
        <v>83.52872430941605</v>
      </c>
      <c r="AN75" s="198">
        <v>355274.4</v>
      </c>
      <c r="AO75" s="153">
        <f>AN75/I75*100</f>
        <v>86.39199990856817</v>
      </c>
      <c r="AP75" s="134">
        <f aca="true" t="shared" si="97" ref="AP75:AP80">IF(R75=0,0,AN75*100/R75)</f>
        <v>86.39199990856817</v>
      </c>
      <c r="AQ75" s="198">
        <v>409023</v>
      </c>
      <c r="AR75" s="154">
        <f>AQ75/I75*100</f>
        <v>99.4620354818762</v>
      </c>
      <c r="AS75" s="243">
        <f aca="true" t="shared" si="98" ref="AS75:AS80">IF(S75=0,0,AQ75*100/S75)</f>
        <v>99.4620354818762</v>
      </c>
      <c r="AT75" s="197">
        <v>411235.3</v>
      </c>
      <c r="AU75" s="129">
        <f>AT75*100/I75</f>
        <v>100</v>
      </c>
      <c r="AV75" s="101"/>
      <c r="AW75" s="208">
        <v>17432.2</v>
      </c>
      <c r="AX75" s="211">
        <v>1986.6</v>
      </c>
      <c r="AY75" s="167">
        <f aca="true" t="shared" si="99" ref="AY75:AY80">IF(AW75=0,0,AX75*100/AW75)</f>
        <v>11.39615194869265</v>
      </c>
      <c r="AZ75" s="101"/>
      <c r="BA75" s="103">
        <f t="shared" si="79"/>
        <v>357261</v>
      </c>
    </row>
    <row r="76" spans="1:53" s="102" customFormat="1" ht="51">
      <c r="A76" s="256"/>
      <c r="B76" s="256"/>
      <c r="C76" s="256"/>
      <c r="D76" s="256"/>
      <c r="E76" s="256"/>
      <c r="F76" s="145" t="s">
        <v>30</v>
      </c>
      <c r="G76" s="179">
        <v>1828883</v>
      </c>
      <c r="H76" s="179">
        <v>1828883</v>
      </c>
      <c r="I76" s="130">
        <v>1678297.9</v>
      </c>
      <c r="J76" s="130">
        <v>1828883</v>
      </c>
      <c r="K76" s="130">
        <v>1828883</v>
      </c>
      <c r="L76" s="130">
        <v>1828883</v>
      </c>
      <c r="M76" s="130">
        <v>1829432</v>
      </c>
      <c r="N76" s="130">
        <v>1829432</v>
      </c>
      <c r="O76" s="130">
        <f>N76</f>
        <v>1829432</v>
      </c>
      <c r="P76" s="165">
        <v>1829432</v>
      </c>
      <c r="Q76" s="165">
        <v>1851830.8</v>
      </c>
      <c r="R76" s="165">
        <v>1851830.8</v>
      </c>
      <c r="S76" s="166">
        <v>1851830.8</v>
      </c>
      <c r="T76" s="165">
        <v>69885.2</v>
      </c>
      <c r="U76" s="167">
        <f>SUM(T76/G76*100)</f>
        <v>3.821195779062958</v>
      </c>
      <c r="V76" s="165">
        <v>149948.3</v>
      </c>
      <c r="W76" s="167">
        <f t="shared" si="88"/>
        <v>8.19890064044556</v>
      </c>
      <c r="X76" s="165">
        <v>221019.1</v>
      </c>
      <c r="Y76" s="167">
        <f t="shared" si="89"/>
        <v>12.084922873688475</v>
      </c>
      <c r="Z76" s="165">
        <v>347018.8</v>
      </c>
      <c r="AA76" s="167">
        <f t="shared" si="90"/>
        <v>18.974357572354272</v>
      </c>
      <c r="AB76" s="165">
        <v>473528.8</v>
      </c>
      <c r="AC76" s="167">
        <f t="shared" si="91"/>
        <v>25.89169454798366</v>
      </c>
      <c r="AD76" s="165">
        <v>543056.74</v>
      </c>
      <c r="AE76" s="167">
        <f t="shared" si="92"/>
        <v>29.684445226715177</v>
      </c>
      <c r="AF76" s="165">
        <v>759595.9</v>
      </c>
      <c r="AG76" s="167">
        <f t="shared" si="93"/>
        <v>41.52086002650003</v>
      </c>
      <c r="AH76" s="165">
        <v>895041.4</v>
      </c>
      <c r="AI76" s="167">
        <f t="shared" si="94"/>
        <v>48.92455144547597</v>
      </c>
      <c r="AJ76" s="165">
        <v>1037755.228</v>
      </c>
      <c r="AK76" s="167">
        <f t="shared" si="95"/>
        <v>56.72554257277668</v>
      </c>
      <c r="AL76" s="165">
        <v>1246582.4</v>
      </c>
      <c r="AM76" s="134">
        <f t="shared" si="96"/>
        <v>67.31621485073042</v>
      </c>
      <c r="AN76" s="166">
        <v>1290524.6</v>
      </c>
      <c r="AO76" s="153">
        <f>AN76/I76*100</f>
        <v>76.89484685644904</v>
      </c>
      <c r="AP76" s="134">
        <f t="shared" si="97"/>
        <v>69.68912062592328</v>
      </c>
      <c r="AQ76" s="166">
        <v>1675093.5</v>
      </c>
      <c r="AR76" s="154">
        <f>AQ76/I76*100</f>
        <v>99.80906846156455</v>
      </c>
      <c r="AS76" s="243">
        <f t="shared" si="98"/>
        <v>90.4560773046868</v>
      </c>
      <c r="AT76" s="165">
        <v>1678297.9</v>
      </c>
      <c r="AU76" s="129">
        <f>AT76*100/I76</f>
        <v>100</v>
      </c>
      <c r="AV76" s="101"/>
      <c r="AW76" s="210">
        <v>481469</v>
      </c>
      <c r="AX76" s="211">
        <v>279489.6</v>
      </c>
      <c r="AY76" s="167">
        <f t="shared" si="99"/>
        <v>58.04934481763103</v>
      </c>
      <c r="AZ76" s="101"/>
      <c r="BA76" s="103">
        <f t="shared" si="79"/>
        <v>1570014.2000000002</v>
      </c>
    </row>
    <row r="77" spans="1:53" s="102" customFormat="1" ht="63.75">
      <c r="A77" s="256"/>
      <c r="B77" s="256"/>
      <c r="C77" s="256"/>
      <c r="D77" s="256"/>
      <c r="E77" s="256"/>
      <c r="F77" s="145" t="s">
        <v>38</v>
      </c>
      <c r="G77" s="179">
        <v>1000</v>
      </c>
      <c r="H77" s="179">
        <v>1000</v>
      </c>
      <c r="I77" s="130">
        <v>1000</v>
      </c>
      <c r="J77" s="130">
        <v>1000</v>
      </c>
      <c r="K77" s="130">
        <v>1000</v>
      </c>
      <c r="L77" s="130">
        <v>1000</v>
      </c>
      <c r="M77" s="130">
        <v>1000</v>
      </c>
      <c r="N77" s="130">
        <v>1000</v>
      </c>
      <c r="O77" s="130">
        <f>N77</f>
        <v>1000</v>
      </c>
      <c r="P77" s="165">
        <v>1000</v>
      </c>
      <c r="Q77" s="165">
        <v>1000</v>
      </c>
      <c r="R77" s="165">
        <v>1000</v>
      </c>
      <c r="S77" s="166">
        <v>1000</v>
      </c>
      <c r="T77" s="165">
        <v>0</v>
      </c>
      <c r="U77" s="167">
        <f>SUM(T77/G77*100)</f>
        <v>0</v>
      </c>
      <c r="V77" s="165">
        <v>0</v>
      </c>
      <c r="W77" s="167">
        <f t="shared" si="88"/>
        <v>0</v>
      </c>
      <c r="X77" s="165">
        <v>0</v>
      </c>
      <c r="Y77" s="167">
        <f t="shared" si="89"/>
        <v>0</v>
      </c>
      <c r="Z77" s="165">
        <v>0</v>
      </c>
      <c r="AA77" s="167">
        <f t="shared" si="90"/>
        <v>0</v>
      </c>
      <c r="AB77" s="165">
        <v>0</v>
      </c>
      <c r="AC77" s="167">
        <f t="shared" si="91"/>
        <v>0</v>
      </c>
      <c r="AD77" s="165"/>
      <c r="AE77" s="167">
        <f t="shared" si="92"/>
        <v>0</v>
      </c>
      <c r="AF77" s="165">
        <v>0</v>
      </c>
      <c r="AG77" s="167">
        <f t="shared" si="93"/>
        <v>0</v>
      </c>
      <c r="AH77" s="165">
        <v>0</v>
      </c>
      <c r="AI77" s="167">
        <f t="shared" si="94"/>
        <v>0</v>
      </c>
      <c r="AJ77" s="165">
        <v>0</v>
      </c>
      <c r="AK77" s="167">
        <f t="shared" si="95"/>
        <v>0</v>
      </c>
      <c r="AL77" s="165">
        <v>595</v>
      </c>
      <c r="AM77" s="134">
        <f t="shared" si="96"/>
        <v>59.5</v>
      </c>
      <c r="AN77" s="166">
        <v>1000</v>
      </c>
      <c r="AO77" s="153">
        <f>AN77/I77*100</f>
        <v>100</v>
      </c>
      <c r="AP77" s="134">
        <f t="shared" si="97"/>
        <v>100</v>
      </c>
      <c r="AQ77" s="166">
        <v>1000</v>
      </c>
      <c r="AR77" s="154">
        <f>AQ77/I77*100</f>
        <v>100</v>
      </c>
      <c r="AS77" s="243">
        <f t="shared" si="98"/>
        <v>100</v>
      </c>
      <c r="AT77" s="165">
        <v>1000</v>
      </c>
      <c r="AU77" s="129">
        <f>AT77*100/I77</f>
        <v>100</v>
      </c>
      <c r="AV77" s="101"/>
      <c r="AW77" s="210">
        <v>0</v>
      </c>
      <c r="AX77" s="211">
        <v>0</v>
      </c>
      <c r="AY77" s="167">
        <f t="shared" si="99"/>
        <v>0</v>
      </c>
      <c r="AZ77" s="101"/>
      <c r="BA77" s="103">
        <f t="shared" si="79"/>
        <v>1000</v>
      </c>
    </row>
    <row r="78" spans="1:53" s="102" customFormat="1" ht="51">
      <c r="A78" s="256"/>
      <c r="B78" s="256"/>
      <c r="C78" s="256"/>
      <c r="D78" s="256"/>
      <c r="E78" s="256"/>
      <c r="F78" s="145" t="s">
        <v>23</v>
      </c>
      <c r="G78" s="179">
        <v>0</v>
      </c>
      <c r="H78" s="179">
        <v>0</v>
      </c>
      <c r="I78" s="180">
        <v>0</v>
      </c>
      <c r="J78" s="180">
        <v>0</v>
      </c>
      <c r="K78" s="180">
        <v>0</v>
      </c>
      <c r="L78" s="180">
        <v>0</v>
      </c>
      <c r="M78" s="180">
        <v>0</v>
      </c>
      <c r="N78" s="180">
        <v>0</v>
      </c>
      <c r="O78" s="130">
        <f>N78</f>
        <v>0</v>
      </c>
      <c r="P78" s="165">
        <v>0</v>
      </c>
      <c r="Q78" s="165">
        <v>0</v>
      </c>
      <c r="R78" s="165">
        <v>0</v>
      </c>
      <c r="S78" s="166">
        <v>0</v>
      </c>
      <c r="T78" s="165">
        <v>0</v>
      </c>
      <c r="U78" s="167">
        <v>0</v>
      </c>
      <c r="V78" s="165">
        <v>0</v>
      </c>
      <c r="W78" s="167">
        <f t="shared" si="88"/>
        <v>0</v>
      </c>
      <c r="X78" s="165">
        <v>0</v>
      </c>
      <c r="Y78" s="167">
        <f t="shared" si="89"/>
        <v>0</v>
      </c>
      <c r="Z78" s="165">
        <v>0</v>
      </c>
      <c r="AA78" s="167">
        <f t="shared" si="90"/>
        <v>0</v>
      </c>
      <c r="AB78" s="165">
        <v>0</v>
      </c>
      <c r="AC78" s="167">
        <f t="shared" si="91"/>
        <v>0</v>
      </c>
      <c r="AD78" s="165"/>
      <c r="AE78" s="167">
        <f t="shared" si="92"/>
        <v>0</v>
      </c>
      <c r="AF78" s="165">
        <v>0</v>
      </c>
      <c r="AG78" s="167">
        <f t="shared" si="93"/>
        <v>0</v>
      </c>
      <c r="AH78" s="165">
        <v>0</v>
      </c>
      <c r="AI78" s="167">
        <f t="shared" si="94"/>
        <v>0</v>
      </c>
      <c r="AJ78" s="165">
        <v>0</v>
      </c>
      <c r="AK78" s="167">
        <f t="shared" si="95"/>
        <v>0</v>
      </c>
      <c r="AL78" s="165">
        <v>0</v>
      </c>
      <c r="AM78" s="134">
        <f t="shared" si="96"/>
        <v>0</v>
      </c>
      <c r="AN78" s="166">
        <v>0</v>
      </c>
      <c r="AO78" s="153">
        <v>0</v>
      </c>
      <c r="AP78" s="134">
        <f t="shared" si="97"/>
        <v>0</v>
      </c>
      <c r="AQ78" s="166">
        <v>0</v>
      </c>
      <c r="AR78" s="154">
        <v>0</v>
      </c>
      <c r="AS78" s="243">
        <f t="shared" si="98"/>
        <v>0</v>
      </c>
      <c r="AT78" s="165">
        <v>0</v>
      </c>
      <c r="AU78" s="292">
        <v>0</v>
      </c>
      <c r="AV78" s="101"/>
      <c r="AW78" s="210">
        <v>0</v>
      </c>
      <c r="AX78" s="211">
        <v>0</v>
      </c>
      <c r="AY78" s="167">
        <f t="shared" si="99"/>
        <v>0</v>
      </c>
      <c r="AZ78" s="101"/>
      <c r="BA78" s="103">
        <f t="shared" si="79"/>
        <v>0</v>
      </c>
    </row>
    <row r="79" spans="1:53" s="102" customFormat="1" ht="38.25">
      <c r="A79" s="256"/>
      <c r="B79" s="256"/>
      <c r="C79" s="256"/>
      <c r="D79" s="256"/>
      <c r="E79" s="256"/>
      <c r="F79" s="145" t="s">
        <v>44</v>
      </c>
      <c r="G79" s="179">
        <v>673876.9</v>
      </c>
      <c r="H79" s="179">
        <v>673876.9</v>
      </c>
      <c r="I79" s="180">
        <v>783126.9</v>
      </c>
      <c r="J79" s="180">
        <v>668126.9</v>
      </c>
      <c r="K79" s="180">
        <v>668126.9</v>
      </c>
      <c r="L79" s="180">
        <v>668126.9</v>
      </c>
      <c r="M79" s="180">
        <v>668126.9</v>
      </c>
      <c r="N79" s="180">
        <v>668126.9</v>
      </c>
      <c r="O79" s="130">
        <f>N79</f>
        <v>668126.9</v>
      </c>
      <c r="P79" s="165">
        <v>668126.9</v>
      </c>
      <c r="Q79" s="165">
        <v>783126.9</v>
      </c>
      <c r="R79" s="165">
        <v>783126.9</v>
      </c>
      <c r="S79" s="166">
        <v>783126.9</v>
      </c>
      <c r="T79" s="165">
        <v>0</v>
      </c>
      <c r="U79" s="167">
        <f>SUM(T79/G79*100)</f>
        <v>0</v>
      </c>
      <c r="V79" s="165">
        <v>0</v>
      </c>
      <c r="W79" s="167">
        <f t="shared" si="88"/>
        <v>0</v>
      </c>
      <c r="X79" s="165">
        <v>0</v>
      </c>
      <c r="Y79" s="167">
        <f t="shared" si="89"/>
        <v>0</v>
      </c>
      <c r="Z79" s="165">
        <v>0</v>
      </c>
      <c r="AA79" s="167">
        <f t="shared" si="90"/>
        <v>0</v>
      </c>
      <c r="AB79" s="165">
        <v>0</v>
      </c>
      <c r="AC79" s="167">
        <f t="shared" si="91"/>
        <v>0</v>
      </c>
      <c r="AD79" s="165"/>
      <c r="AE79" s="167">
        <f t="shared" si="92"/>
        <v>0</v>
      </c>
      <c r="AF79" s="165">
        <v>0</v>
      </c>
      <c r="AG79" s="167">
        <f t="shared" si="93"/>
        <v>0</v>
      </c>
      <c r="AH79" s="165">
        <v>0</v>
      </c>
      <c r="AI79" s="167">
        <f t="shared" si="94"/>
        <v>0</v>
      </c>
      <c r="AJ79" s="165">
        <v>0</v>
      </c>
      <c r="AK79" s="167">
        <f t="shared" si="95"/>
        <v>0</v>
      </c>
      <c r="AL79" s="165">
        <v>334945.9</v>
      </c>
      <c r="AM79" s="134">
        <f t="shared" si="96"/>
        <v>42.7703224087948</v>
      </c>
      <c r="AN79" s="166">
        <v>372219.9</v>
      </c>
      <c r="AO79" s="153">
        <f>AN79/I79*100</f>
        <v>47.52995970384876</v>
      </c>
      <c r="AP79" s="134">
        <f t="shared" si="97"/>
        <v>47.52995970384876</v>
      </c>
      <c r="AQ79" s="166">
        <v>783126.9</v>
      </c>
      <c r="AR79" s="154">
        <f>AQ79/I79*100</f>
        <v>100</v>
      </c>
      <c r="AS79" s="243">
        <f t="shared" si="98"/>
        <v>100</v>
      </c>
      <c r="AT79" s="165">
        <v>783126.9</v>
      </c>
      <c r="AU79" s="129">
        <f>AT79*100/I79</f>
        <v>100</v>
      </c>
      <c r="AV79" s="101"/>
      <c r="AW79" s="210">
        <v>125453</v>
      </c>
      <c r="AX79" s="211">
        <v>125453</v>
      </c>
      <c r="AY79" s="167">
        <f t="shared" si="99"/>
        <v>100</v>
      </c>
      <c r="AZ79" s="101"/>
      <c r="BA79" s="103">
        <f t="shared" si="79"/>
        <v>497672.9</v>
      </c>
    </row>
    <row r="80" spans="1:53" s="102" customFormat="1" ht="409.5">
      <c r="A80" s="124" t="s">
        <v>47</v>
      </c>
      <c r="B80" s="124">
        <v>10</v>
      </c>
      <c r="C80" s="135" t="s">
        <v>65</v>
      </c>
      <c r="D80" s="201" t="s">
        <v>192</v>
      </c>
      <c r="E80" s="124" t="s">
        <v>31</v>
      </c>
      <c r="F80" s="128" t="s">
        <v>26</v>
      </c>
      <c r="G80" s="149">
        <f aca="true" t="shared" si="100" ref="G80:T80">SUM(G82:G86)</f>
        <v>100000</v>
      </c>
      <c r="H80" s="149">
        <f t="shared" si="100"/>
        <v>100000</v>
      </c>
      <c r="I80" s="149">
        <f t="shared" si="100"/>
        <v>114093.40000000001</v>
      </c>
      <c r="J80" s="149">
        <f t="shared" si="100"/>
        <v>100000</v>
      </c>
      <c r="K80" s="149">
        <f t="shared" si="100"/>
        <v>100000</v>
      </c>
      <c r="L80" s="149">
        <f t="shared" si="100"/>
        <v>100000</v>
      </c>
      <c r="M80" s="149">
        <f t="shared" si="100"/>
        <v>100000</v>
      </c>
      <c r="N80" s="149">
        <f t="shared" si="100"/>
        <v>100000</v>
      </c>
      <c r="O80" s="149">
        <f t="shared" si="100"/>
        <v>100000</v>
      </c>
      <c r="P80" s="149">
        <f t="shared" si="100"/>
        <v>100000</v>
      </c>
      <c r="Q80" s="149">
        <f t="shared" si="100"/>
        <v>115003.5</v>
      </c>
      <c r="R80" s="149">
        <f t="shared" si="100"/>
        <v>115003.5</v>
      </c>
      <c r="S80" s="152">
        <f t="shared" si="100"/>
        <v>115003.5</v>
      </c>
      <c r="T80" s="149">
        <f t="shared" si="100"/>
        <v>1369.6</v>
      </c>
      <c r="U80" s="150">
        <f>SUM(T80/G80*100)</f>
        <v>1.3696</v>
      </c>
      <c r="V80" s="149">
        <f>SUM(V82:V86)</f>
        <v>13271.8</v>
      </c>
      <c r="W80" s="150">
        <f t="shared" si="88"/>
        <v>13.2718</v>
      </c>
      <c r="X80" s="149">
        <f>SUM(X82:X86)</f>
        <v>26430.9</v>
      </c>
      <c r="Y80" s="150">
        <f t="shared" si="89"/>
        <v>26.4309</v>
      </c>
      <c r="Z80" s="149">
        <f>SUM(Z82:Z86)</f>
        <v>36627.7</v>
      </c>
      <c r="AA80" s="150">
        <f t="shared" si="90"/>
        <v>36.6277</v>
      </c>
      <c r="AB80" s="149">
        <f>SUM(AB82:AB86)</f>
        <v>44956.2</v>
      </c>
      <c r="AC80" s="150">
        <f t="shared" si="91"/>
        <v>44.9562</v>
      </c>
      <c r="AD80" s="149">
        <f>SUM(AD82:AD86)</f>
        <v>53718.299999999996</v>
      </c>
      <c r="AE80" s="151">
        <f t="shared" si="92"/>
        <v>53.7183</v>
      </c>
      <c r="AF80" s="149">
        <f>SUM(AF82:AF86)</f>
        <v>61325.7</v>
      </c>
      <c r="AG80" s="150">
        <f t="shared" si="93"/>
        <v>61.3257</v>
      </c>
      <c r="AH80" s="149">
        <f>SUM(AH82:AH86)</f>
        <v>70074.09999999999</v>
      </c>
      <c r="AI80" s="150">
        <f t="shared" si="94"/>
        <v>70.07409999999999</v>
      </c>
      <c r="AJ80" s="149">
        <f>SUM(AJ82:AJ86)</f>
        <v>74497</v>
      </c>
      <c r="AK80" s="150">
        <f t="shared" si="95"/>
        <v>74.497</v>
      </c>
      <c r="AL80" s="149">
        <f>SUM(AL82:AL86)</f>
        <v>79593.4</v>
      </c>
      <c r="AM80" s="150">
        <f t="shared" si="96"/>
        <v>69.20954579643228</v>
      </c>
      <c r="AN80" s="152">
        <f>SUM(AN82:AN86)</f>
        <v>87323.5</v>
      </c>
      <c r="AO80" s="153">
        <f>AN80/I80*100</f>
        <v>76.53685489257047</v>
      </c>
      <c r="AP80" s="150">
        <f t="shared" si="97"/>
        <v>75.9311673122992</v>
      </c>
      <c r="AQ80" s="152">
        <f>SUM(AQ82:AQ86)</f>
        <v>111838.3</v>
      </c>
      <c r="AR80" s="154">
        <f>AQ80/I80*100</f>
        <v>98.02346147980514</v>
      </c>
      <c r="AS80" s="189">
        <f t="shared" si="98"/>
        <v>97.24773593847144</v>
      </c>
      <c r="AT80" s="190">
        <f>SUM(AT82:AT86)</f>
        <v>114093.3</v>
      </c>
      <c r="AU80" s="129">
        <f>AT80*100/I80</f>
        <v>99.99991235251117</v>
      </c>
      <c r="AV80" s="215" t="s">
        <v>221</v>
      </c>
      <c r="AW80" s="216">
        <f>SUM(AW82:AW86)</f>
        <v>28546.800000000003</v>
      </c>
      <c r="AX80" s="217">
        <f>SUM(AX82:AX86)</f>
        <v>24514.800000000003</v>
      </c>
      <c r="AY80" s="134">
        <f t="shared" si="99"/>
        <v>85.87582496111649</v>
      </c>
      <c r="AZ80" s="131"/>
      <c r="BA80" s="103">
        <f t="shared" si="79"/>
        <v>111838.3</v>
      </c>
    </row>
    <row r="81" spans="1:53" s="102" customFormat="1" ht="25.5">
      <c r="A81" s="256"/>
      <c r="B81" s="256"/>
      <c r="C81" s="256"/>
      <c r="D81" s="256"/>
      <c r="E81" s="256"/>
      <c r="F81" s="136" t="s">
        <v>29</v>
      </c>
      <c r="G81" s="137"/>
      <c r="H81" s="137"/>
      <c r="I81" s="137"/>
      <c r="J81" s="137"/>
      <c r="K81" s="137"/>
      <c r="L81" s="137"/>
      <c r="M81" s="137"/>
      <c r="N81" s="137"/>
      <c r="O81" s="137"/>
      <c r="P81" s="137"/>
      <c r="Q81" s="137"/>
      <c r="R81" s="137"/>
      <c r="S81" s="139"/>
      <c r="T81" s="137"/>
      <c r="U81" s="137"/>
      <c r="V81" s="137"/>
      <c r="W81" s="137"/>
      <c r="X81" s="137"/>
      <c r="Y81" s="137"/>
      <c r="Z81" s="137"/>
      <c r="AA81" s="137"/>
      <c r="AB81" s="137"/>
      <c r="AC81" s="137"/>
      <c r="AD81" s="137"/>
      <c r="AE81" s="138"/>
      <c r="AF81" s="137"/>
      <c r="AG81" s="137"/>
      <c r="AH81" s="137"/>
      <c r="AI81" s="137"/>
      <c r="AJ81" s="137"/>
      <c r="AK81" s="137"/>
      <c r="AL81" s="137"/>
      <c r="AM81" s="137"/>
      <c r="AN81" s="139"/>
      <c r="AO81" s="138"/>
      <c r="AP81" s="137"/>
      <c r="AQ81" s="139"/>
      <c r="AR81" s="140"/>
      <c r="AS81" s="139"/>
      <c r="AT81" s="142"/>
      <c r="AU81" s="143"/>
      <c r="AV81" s="101"/>
      <c r="AW81" s="206"/>
      <c r="AX81" s="207"/>
      <c r="AY81" s="193"/>
      <c r="AZ81" s="101"/>
      <c r="BA81" s="103">
        <f t="shared" si="79"/>
        <v>0</v>
      </c>
    </row>
    <row r="82" spans="1:53" s="102" customFormat="1" ht="38.25">
      <c r="A82" s="256"/>
      <c r="B82" s="256"/>
      <c r="C82" s="256"/>
      <c r="D82" s="256"/>
      <c r="E82" s="256"/>
      <c r="F82" s="144" t="s">
        <v>27</v>
      </c>
      <c r="G82" s="179">
        <v>0</v>
      </c>
      <c r="H82" s="179">
        <v>0</v>
      </c>
      <c r="I82" s="180">
        <v>15003.6</v>
      </c>
      <c r="J82" s="180">
        <v>0</v>
      </c>
      <c r="K82" s="180">
        <v>0</v>
      </c>
      <c r="L82" s="197">
        <v>0</v>
      </c>
      <c r="M82" s="197">
        <v>0</v>
      </c>
      <c r="N82" s="197">
        <v>0</v>
      </c>
      <c r="O82" s="180">
        <f>N82</f>
        <v>0</v>
      </c>
      <c r="P82" s="197">
        <v>0</v>
      </c>
      <c r="Q82" s="197">
        <v>15003.5</v>
      </c>
      <c r="R82" s="197">
        <v>15003.5</v>
      </c>
      <c r="S82" s="198">
        <v>15003.5</v>
      </c>
      <c r="T82" s="197">
        <v>0</v>
      </c>
      <c r="U82" s="167">
        <v>0</v>
      </c>
      <c r="V82" s="197">
        <v>0</v>
      </c>
      <c r="W82" s="167">
        <f>IF(H82=0,0,V82*100/H82)</f>
        <v>0</v>
      </c>
      <c r="X82" s="197">
        <v>0</v>
      </c>
      <c r="Y82" s="167">
        <f>IF(J82=0,0,X82*100/J82)</f>
        <v>0</v>
      </c>
      <c r="Z82" s="197">
        <v>0</v>
      </c>
      <c r="AA82" s="167">
        <f>IF(K82=0,0,Z82*100/K82)</f>
        <v>0</v>
      </c>
      <c r="AB82" s="197">
        <v>0</v>
      </c>
      <c r="AC82" s="167">
        <f>IF(L82=0,0,AB82*100/L82)</f>
        <v>0</v>
      </c>
      <c r="AD82" s="197"/>
      <c r="AE82" s="167">
        <f>IF(O82=0,0,AD82*100/O82)</f>
        <v>0</v>
      </c>
      <c r="AF82" s="197">
        <v>0</v>
      </c>
      <c r="AG82" s="167">
        <f>IF(N82=0,0,AF82*100/N82)</f>
        <v>0</v>
      </c>
      <c r="AH82" s="197">
        <v>1967.4</v>
      </c>
      <c r="AI82" s="167">
        <f>IF(O82=0,0,AH82*100/O82)</f>
        <v>0</v>
      </c>
      <c r="AJ82" s="197">
        <v>4464.9</v>
      </c>
      <c r="AK82" s="167">
        <f>IF(P82=0,0,AJ82*100/P82)</f>
        <v>0</v>
      </c>
      <c r="AL82" s="197">
        <v>8066.7</v>
      </c>
      <c r="AM82" s="134">
        <f aca="true" t="shared" si="101" ref="AM82:AM87">IF(Q82=0,0,AL82*100/Q82)</f>
        <v>53.76545472723031</v>
      </c>
      <c r="AN82" s="198">
        <v>13347.1</v>
      </c>
      <c r="AO82" s="153">
        <f>AN82/I82*100</f>
        <v>88.95931643072329</v>
      </c>
      <c r="AP82" s="134">
        <f aca="true" t="shared" si="102" ref="AP82:AP87">IF(R82=0,0,AN82*100/R82)</f>
        <v>88.95990935448395</v>
      </c>
      <c r="AQ82" s="198">
        <v>15003.5</v>
      </c>
      <c r="AR82" s="154">
        <f>AQ82/I82*100</f>
        <v>99.99933349329494</v>
      </c>
      <c r="AS82" s="243">
        <f aca="true" t="shared" si="103" ref="AS82:AS87">IF(S82=0,0,AQ82*100/S82)</f>
        <v>100</v>
      </c>
      <c r="AT82" s="197">
        <v>15003.5</v>
      </c>
      <c r="AU82" s="129">
        <f>AT82*100/I82</f>
        <v>99.99933349329494</v>
      </c>
      <c r="AV82" s="101"/>
      <c r="AW82" s="208">
        <v>2702.9</v>
      </c>
      <c r="AX82" s="209">
        <v>1656.4</v>
      </c>
      <c r="AY82" s="167">
        <f aca="true" t="shared" si="104" ref="AY82:AY87">IF(AW82=0,0,AX82*100/AW82)</f>
        <v>61.282326390173516</v>
      </c>
      <c r="AZ82" s="101"/>
      <c r="BA82" s="103">
        <f t="shared" si="79"/>
        <v>15003.5</v>
      </c>
    </row>
    <row r="83" spans="1:53" s="102" customFormat="1" ht="51">
      <c r="A83" s="256"/>
      <c r="B83" s="256"/>
      <c r="C83" s="256"/>
      <c r="D83" s="256"/>
      <c r="E83" s="256"/>
      <c r="F83" s="145" t="s">
        <v>30</v>
      </c>
      <c r="G83" s="179">
        <v>100000</v>
      </c>
      <c r="H83" s="179">
        <v>100000</v>
      </c>
      <c r="I83" s="180">
        <v>99089.8</v>
      </c>
      <c r="J83" s="180">
        <v>100000</v>
      </c>
      <c r="K83" s="180">
        <v>100000</v>
      </c>
      <c r="L83" s="180">
        <v>100000</v>
      </c>
      <c r="M83" s="180">
        <v>100000</v>
      </c>
      <c r="N83" s="180">
        <v>100000</v>
      </c>
      <c r="O83" s="130">
        <f>N83</f>
        <v>100000</v>
      </c>
      <c r="P83" s="165">
        <v>100000</v>
      </c>
      <c r="Q83" s="165">
        <v>100000</v>
      </c>
      <c r="R83" s="165">
        <v>100000</v>
      </c>
      <c r="S83" s="166">
        <v>100000</v>
      </c>
      <c r="T83" s="165">
        <v>1369.6</v>
      </c>
      <c r="U83" s="167">
        <f>SUM(T83/G83*100)</f>
        <v>1.3696</v>
      </c>
      <c r="V83" s="165">
        <v>13271.8</v>
      </c>
      <c r="W83" s="167">
        <f>IF(H83=0,0,V83*100/H83)</f>
        <v>13.2718</v>
      </c>
      <c r="X83" s="165">
        <v>26430.9</v>
      </c>
      <c r="Y83" s="167">
        <f>IF(J83=0,0,X83*100/J83)</f>
        <v>26.4309</v>
      </c>
      <c r="Z83" s="165">
        <v>36627.7</v>
      </c>
      <c r="AA83" s="167">
        <f>IF(K83=0,0,Z83*100/K83)</f>
        <v>36.6277</v>
      </c>
      <c r="AB83" s="165">
        <v>44956.2</v>
      </c>
      <c r="AC83" s="167">
        <f>IF(L83=0,0,AB83*100/L83)</f>
        <v>44.9562</v>
      </c>
      <c r="AD83" s="165">
        <v>53718.299999999996</v>
      </c>
      <c r="AE83" s="167">
        <f>IF(O83=0,0,AD83*100/O83)</f>
        <v>53.7183</v>
      </c>
      <c r="AF83" s="165">
        <v>61325.7</v>
      </c>
      <c r="AG83" s="167">
        <f>IF(N83=0,0,AF83*100/N83)</f>
        <v>61.3257</v>
      </c>
      <c r="AH83" s="165">
        <v>68106.7</v>
      </c>
      <c r="AI83" s="167">
        <f>IF(O83=0,0,AH83*100/O83)</f>
        <v>68.1067</v>
      </c>
      <c r="AJ83" s="165">
        <v>70032.1</v>
      </c>
      <c r="AK83" s="167">
        <f>IF(P83=0,0,AJ83*100/P83)</f>
        <v>70.03210000000001</v>
      </c>
      <c r="AL83" s="165">
        <v>71526.7</v>
      </c>
      <c r="AM83" s="134">
        <f t="shared" si="101"/>
        <v>71.5267</v>
      </c>
      <c r="AN83" s="166">
        <v>73976.4</v>
      </c>
      <c r="AO83" s="153">
        <f>AN83/I83*100</f>
        <v>74.65591816715747</v>
      </c>
      <c r="AP83" s="134">
        <f t="shared" si="102"/>
        <v>73.97639999999998</v>
      </c>
      <c r="AQ83" s="166">
        <v>96834.8</v>
      </c>
      <c r="AR83" s="154">
        <f>AQ83/I83*100</f>
        <v>97.72428645531629</v>
      </c>
      <c r="AS83" s="243">
        <f t="shared" si="103"/>
        <v>96.8348</v>
      </c>
      <c r="AT83" s="165">
        <v>99089.8</v>
      </c>
      <c r="AU83" s="129">
        <f>AT83*100/I83</f>
        <v>100</v>
      </c>
      <c r="AV83" s="101"/>
      <c r="AW83" s="210">
        <v>25843.9</v>
      </c>
      <c r="AX83" s="211">
        <v>22858.4</v>
      </c>
      <c r="AY83" s="167">
        <f t="shared" si="104"/>
        <v>88.44795096715279</v>
      </c>
      <c r="AZ83" s="101"/>
      <c r="BA83" s="103">
        <f t="shared" si="79"/>
        <v>96834.79999999999</v>
      </c>
    </row>
    <row r="84" spans="1:53" s="102" customFormat="1" ht="63.75">
      <c r="A84" s="256"/>
      <c r="B84" s="256"/>
      <c r="C84" s="256"/>
      <c r="D84" s="256"/>
      <c r="E84" s="256"/>
      <c r="F84" s="145" t="s">
        <v>38</v>
      </c>
      <c r="G84" s="179">
        <v>0</v>
      </c>
      <c r="H84" s="179">
        <v>0</v>
      </c>
      <c r="I84" s="180">
        <v>0</v>
      </c>
      <c r="J84" s="180">
        <v>0</v>
      </c>
      <c r="K84" s="180">
        <v>0</v>
      </c>
      <c r="L84" s="165">
        <v>0</v>
      </c>
      <c r="M84" s="165">
        <v>0</v>
      </c>
      <c r="N84" s="165">
        <v>0</v>
      </c>
      <c r="O84" s="130">
        <f>N84</f>
        <v>0</v>
      </c>
      <c r="P84" s="165">
        <v>0</v>
      </c>
      <c r="Q84" s="165">
        <v>0</v>
      </c>
      <c r="R84" s="165">
        <v>0</v>
      </c>
      <c r="S84" s="166">
        <v>0</v>
      </c>
      <c r="T84" s="165">
        <v>0</v>
      </c>
      <c r="U84" s="167">
        <v>0</v>
      </c>
      <c r="V84" s="165">
        <v>0</v>
      </c>
      <c r="W84" s="167">
        <f>IF(H84=0,0,V84*100/H84)</f>
        <v>0</v>
      </c>
      <c r="X84" s="165">
        <v>0</v>
      </c>
      <c r="Y84" s="167">
        <f>IF(J84=0,0,X84*100/J84)</f>
        <v>0</v>
      </c>
      <c r="Z84" s="165">
        <v>0</v>
      </c>
      <c r="AA84" s="167">
        <f>IF(K84=0,0,Z84*100/K84)</f>
        <v>0</v>
      </c>
      <c r="AB84" s="165">
        <v>0</v>
      </c>
      <c r="AC84" s="167">
        <f>IF(L84=0,0,AB84*100/L84)</f>
        <v>0</v>
      </c>
      <c r="AD84" s="165"/>
      <c r="AE84" s="167">
        <f>IF(O84=0,0,AD84*100/O84)</f>
        <v>0</v>
      </c>
      <c r="AF84" s="165">
        <v>0</v>
      </c>
      <c r="AG84" s="167">
        <f>IF(N84=0,0,AF84*100/N84)</f>
        <v>0</v>
      </c>
      <c r="AH84" s="165">
        <v>0</v>
      </c>
      <c r="AI84" s="167">
        <f>IF(O84=0,0,AH84*100/O84)</f>
        <v>0</v>
      </c>
      <c r="AJ84" s="165">
        <v>0</v>
      </c>
      <c r="AK84" s="167">
        <f>IF(P84=0,0,AJ84*100/P84)</f>
        <v>0</v>
      </c>
      <c r="AL84" s="165">
        <v>0</v>
      </c>
      <c r="AM84" s="134">
        <f t="shared" si="101"/>
        <v>0</v>
      </c>
      <c r="AN84" s="166">
        <v>0</v>
      </c>
      <c r="AO84" s="153">
        <v>0</v>
      </c>
      <c r="AP84" s="134">
        <f t="shared" si="102"/>
        <v>0</v>
      </c>
      <c r="AQ84" s="166">
        <v>0</v>
      </c>
      <c r="AR84" s="154">
        <v>0</v>
      </c>
      <c r="AS84" s="243">
        <f t="shared" si="103"/>
        <v>0</v>
      </c>
      <c r="AT84" s="165">
        <v>0</v>
      </c>
      <c r="AU84" s="292">
        <v>0</v>
      </c>
      <c r="AV84" s="101"/>
      <c r="AW84" s="210">
        <v>0</v>
      </c>
      <c r="AX84" s="211">
        <v>0</v>
      </c>
      <c r="AY84" s="167">
        <f t="shared" si="104"/>
        <v>0</v>
      </c>
      <c r="AZ84" s="101"/>
      <c r="BA84" s="103">
        <f t="shared" si="79"/>
        <v>0</v>
      </c>
    </row>
    <row r="85" spans="1:53" s="102" customFormat="1" ht="51">
      <c r="A85" s="256"/>
      <c r="B85" s="256"/>
      <c r="C85" s="256"/>
      <c r="D85" s="256"/>
      <c r="E85" s="256"/>
      <c r="F85" s="145" t="s">
        <v>23</v>
      </c>
      <c r="G85" s="179">
        <v>0</v>
      </c>
      <c r="H85" s="179">
        <v>0</v>
      </c>
      <c r="I85" s="180">
        <v>0</v>
      </c>
      <c r="J85" s="180">
        <v>0</v>
      </c>
      <c r="K85" s="180">
        <v>0</v>
      </c>
      <c r="L85" s="165">
        <v>0</v>
      </c>
      <c r="M85" s="165">
        <v>0</v>
      </c>
      <c r="N85" s="165">
        <v>0</v>
      </c>
      <c r="O85" s="130">
        <f>N85</f>
        <v>0</v>
      </c>
      <c r="P85" s="165">
        <v>0</v>
      </c>
      <c r="Q85" s="165">
        <v>0</v>
      </c>
      <c r="R85" s="165">
        <v>0</v>
      </c>
      <c r="S85" s="166">
        <v>0</v>
      </c>
      <c r="T85" s="165">
        <v>0</v>
      </c>
      <c r="U85" s="167">
        <v>0</v>
      </c>
      <c r="V85" s="165">
        <v>0</v>
      </c>
      <c r="W85" s="167">
        <f>IF(H85=0,0,V85*100/H85)</f>
        <v>0</v>
      </c>
      <c r="X85" s="165">
        <v>0</v>
      </c>
      <c r="Y85" s="167">
        <f>IF(J85=0,0,X85*100/J85)</f>
        <v>0</v>
      </c>
      <c r="Z85" s="165">
        <v>0</v>
      </c>
      <c r="AA85" s="167">
        <f>IF(K85=0,0,Z85*100/K85)</f>
        <v>0</v>
      </c>
      <c r="AB85" s="165">
        <v>0</v>
      </c>
      <c r="AC85" s="167">
        <f>IF(L85=0,0,AB85*100/L85)</f>
        <v>0</v>
      </c>
      <c r="AD85" s="165"/>
      <c r="AE85" s="167">
        <f>IF(O85=0,0,AD85*100/O85)</f>
        <v>0</v>
      </c>
      <c r="AF85" s="165">
        <v>0</v>
      </c>
      <c r="AG85" s="167">
        <f>IF(N85=0,0,AF85*100/N85)</f>
        <v>0</v>
      </c>
      <c r="AH85" s="165">
        <v>0</v>
      </c>
      <c r="AI85" s="167">
        <f>IF(O85=0,0,AH85*100/O85)</f>
        <v>0</v>
      </c>
      <c r="AJ85" s="165">
        <v>0</v>
      </c>
      <c r="AK85" s="167">
        <f>IF(P85=0,0,AJ85*100/P85)</f>
        <v>0</v>
      </c>
      <c r="AL85" s="165">
        <v>0</v>
      </c>
      <c r="AM85" s="134">
        <f t="shared" si="101"/>
        <v>0</v>
      </c>
      <c r="AN85" s="166">
        <v>0</v>
      </c>
      <c r="AO85" s="153">
        <v>0</v>
      </c>
      <c r="AP85" s="134">
        <f t="shared" si="102"/>
        <v>0</v>
      </c>
      <c r="AQ85" s="166">
        <v>0</v>
      </c>
      <c r="AR85" s="154">
        <v>0</v>
      </c>
      <c r="AS85" s="243">
        <f t="shared" si="103"/>
        <v>0</v>
      </c>
      <c r="AT85" s="165">
        <v>0</v>
      </c>
      <c r="AU85" s="292">
        <v>0</v>
      </c>
      <c r="AV85" s="101"/>
      <c r="AW85" s="210">
        <v>0</v>
      </c>
      <c r="AX85" s="211">
        <v>0</v>
      </c>
      <c r="AY85" s="167">
        <f t="shared" si="104"/>
        <v>0</v>
      </c>
      <c r="AZ85" s="101"/>
      <c r="BA85" s="103">
        <f t="shared" si="79"/>
        <v>0</v>
      </c>
    </row>
    <row r="86" spans="1:53" s="102" customFormat="1" ht="38.25">
      <c r="A86" s="256"/>
      <c r="B86" s="256"/>
      <c r="C86" s="256"/>
      <c r="D86" s="256"/>
      <c r="E86" s="256"/>
      <c r="F86" s="145" t="s">
        <v>44</v>
      </c>
      <c r="G86" s="179">
        <v>0</v>
      </c>
      <c r="H86" s="179">
        <v>0</v>
      </c>
      <c r="I86" s="180">
        <v>0</v>
      </c>
      <c r="J86" s="180">
        <v>0</v>
      </c>
      <c r="K86" s="180">
        <v>0</v>
      </c>
      <c r="L86" s="165">
        <v>0</v>
      </c>
      <c r="M86" s="165">
        <v>0</v>
      </c>
      <c r="N86" s="165">
        <v>0</v>
      </c>
      <c r="O86" s="130">
        <f>N86</f>
        <v>0</v>
      </c>
      <c r="P86" s="165">
        <v>0</v>
      </c>
      <c r="Q86" s="165">
        <v>0</v>
      </c>
      <c r="R86" s="165">
        <v>0</v>
      </c>
      <c r="S86" s="166">
        <v>0</v>
      </c>
      <c r="T86" s="165">
        <v>0</v>
      </c>
      <c r="U86" s="167">
        <v>0</v>
      </c>
      <c r="V86" s="165">
        <v>0</v>
      </c>
      <c r="W86" s="167">
        <f>IF(H86=0,0,V86*100/H86)</f>
        <v>0</v>
      </c>
      <c r="X86" s="165">
        <v>0</v>
      </c>
      <c r="Y86" s="167">
        <f>IF(J86=0,0,X86*100/J86)</f>
        <v>0</v>
      </c>
      <c r="Z86" s="165">
        <v>0</v>
      </c>
      <c r="AA86" s="167">
        <f>IF(K86=0,0,Z86*100/K86)</f>
        <v>0</v>
      </c>
      <c r="AB86" s="165">
        <v>0</v>
      </c>
      <c r="AC86" s="167">
        <f>IF(L86=0,0,AB86*100/L86)</f>
        <v>0</v>
      </c>
      <c r="AD86" s="165"/>
      <c r="AE86" s="167">
        <f>IF(O86=0,0,AD86*100/O86)</f>
        <v>0</v>
      </c>
      <c r="AF86" s="165">
        <v>0</v>
      </c>
      <c r="AG86" s="167">
        <f>IF(N86=0,0,AF86*100/N86)</f>
        <v>0</v>
      </c>
      <c r="AH86" s="165">
        <v>0</v>
      </c>
      <c r="AI86" s="167">
        <f>IF(O86=0,0,AH86*100/O86)</f>
        <v>0</v>
      </c>
      <c r="AJ86" s="165">
        <v>0</v>
      </c>
      <c r="AK86" s="167">
        <f>IF(P86=0,0,AJ86*100/P86)</f>
        <v>0</v>
      </c>
      <c r="AL86" s="165">
        <v>0</v>
      </c>
      <c r="AM86" s="134">
        <f t="shared" si="101"/>
        <v>0</v>
      </c>
      <c r="AN86" s="166">
        <v>0</v>
      </c>
      <c r="AO86" s="153">
        <v>0</v>
      </c>
      <c r="AP86" s="134">
        <f t="shared" si="102"/>
        <v>0</v>
      </c>
      <c r="AQ86" s="166">
        <v>0</v>
      </c>
      <c r="AR86" s="154">
        <v>0</v>
      </c>
      <c r="AS86" s="243">
        <f t="shared" si="103"/>
        <v>0</v>
      </c>
      <c r="AT86" s="165">
        <v>0</v>
      </c>
      <c r="AU86" s="292">
        <v>0</v>
      </c>
      <c r="AV86" s="101"/>
      <c r="AW86" s="210">
        <v>0</v>
      </c>
      <c r="AX86" s="211">
        <v>0</v>
      </c>
      <c r="AY86" s="167">
        <f t="shared" si="104"/>
        <v>0</v>
      </c>
      <c r="AZ86" s="101"/>
      <c r="BA86" s="103"/>
    </row>
    <row r="87" spans="1:53" s="102" customFormat="1" ht="409.5">
      <c r="A87" s="124" t="s">
        <v>91</v>
      </c>
      <c r="B87" s="124">
        <v>11</v>
      </c>
      <c r="C87" s="212" t="s">
        <v>66</v>
      </c>
      <c r="D87" s="124" t="s">
        <v>198</v>
      </c>
      <c r="E87" s="124" t="s">
        <v>11</v>
      </c>
      <c r="F87" s="128" t="s">
        <v>26</v>
      </c>
      <c r="G87" s="149">
        <f aca="true" t="shared" si="105" ref="G87:AL87">SUM(G89:G93)</f>
        <v>25577236.799999997</v>
      </c>
      <c r="H87" s="149">
        <f t="shared" si="105"/>
        <v>25577236.799999997</v>
      </c>
      <c r="I87" s="149">
        <f t="shared" si="105"/>
        <v>27218147.200000003</v>
      </c>
      <c r="J87" s="149">
        <f t="shared" si="105"/>
        <v>25673630.6</v>
      </c>
      <c r="K87" s="149">
        <f t="shared" si="105"/>
        <v>25705253.6</v>
      </c>
      <c r="L87" s="149">
        <f t="shared" si="105"/>
        <v>25705253.6</v>
      </c>
      <c r="M87" s="149">
        <f t="shared" si="105"/>
        <v>25705253.6</v>
      </c>
      <c r="N87" s="149">
        <f t="shared" si="105"/>
        <v>23269244.5</v>
      </c>
      <c r="O87" s="149">
        <f t="shared" si="105"/>
        <v>23240880.4</v>
      </c>
      <c r="P87" s="149">
        <f t="shared" si="105"/>
        <v>23269244.501000002</v>
      </c>
      <c r="Q87" s="149">
        <f t="shared" si="105"/>
        <v>25391736.001000002</v>
      </c>
      <c r="R87" s="149">
        <f t="shared" si="105"/>
        <v>27218131</v>
      </c>
      <c r="S87" s="152">
        <f t="shared" si="105"/>
        <v>27218131</v>
      </c>
      <c r="T87" s="149">
        <f t="shared" si="105"/>
        <v>10387295.7</v>
      </c>
      <c r="U87" s="149">
        <f t="shared" si="105"/>
        <v>10387295.7</v>
      </c>
      <c r="V87" s="149">
        <f t="shared" si="105"/>
        <v>10416451.899999999</v>
      </c>
      <c r="W87" s="149">
        <f t="shared" si="105"/>
        <v>10387296.362503558</v>
      </c>
      <c r="X87" s="149">
        <f t="shared" si="105"/>
        <v>10524649.2</v>
      </c>
      <c r="Y87" s="149">
        <f t="shared" si="105"/>
        <v>10387308.253340239</v>
      </c>
      <c r="Z87" s="149">
        <f t="shared" si="105"/>
        <v>10653440.049999999</v>
      </c>
      <c r="AA87" s="149">
        <f t="shared" si="105"/>
        <v>10387312.628250035</v>
      </c>
      <c r="AB87" s="149">
        <f t="shared" si="105"/>
        <v>10686873.7</v>
      </c>
      <c r="AC87" s="149">
        <f t="shared" si="105"/>
        <v>10387327.859336024</v>
      </c>
      <c r="AD87" s="149">
        <f t="shared" si="105"/>
        <v>14216211.399999999</v>
      </c>
      <c r="AE87" s="149">
        <f t="shared" si="105"/>
        <v>10387349.694298415</v>
      </c>
      <c r="AF87" s="149">
        <f t="shared" si="105"/>
        <v>15594562.098</v>
      </c>
      <c r="AG87" s="149">
        <f t="shared" si="105"/>
        <v>10387370.782676168</v>
      </c>
      <c r="AH87" s="149">
        <f t="shared" si="105"/>
        <v>12037063.73259889</v>
      </c>
      <c r="AI87" s="149">
        <f t="shared" si="105"/>
        <v>272.59806680320133</v>
      </c>
      <c r="AJ87" s="149">
        <f t="shared" si="105"/>
        <v>14421113.611543333</v>
      </c>
      <c r="AK87" s="149">
        <f t="shared" si="105"/>
        <v>302.24742710632177</v>
      </c>
      <c r="AL87" s="149">
        <f t="shared" si="105"/>
        <v>15906750.7</v>
      </c>
      <c r="AM87" s="150">
        <f t="shared" si="101"/>
        <v>62.64538470065042</v>
      </c>
      <c r="AN87" s="152">
        <f>SUM(AN89:AN93)</f>
        <v>20609254.1</v>
      </c>
      <c r="AO87" s="153">
        <f>AN87/I87*100</f>
        <v>75.71879874321496</v>
      </c>
      <c r="AP87" s="150">
        <f t="shared" si="102"/>
        <v>75.71884381039978</v>
      </c>
      <c r="AQ87" s="152">
        <f>SUM(AQ89:AQ93)</f>
        <v>27225719.700000003</v>
      </c>
      <c r="AR87" s="154">
        <f>AQ87/I87*100</f>
        <v>100.02782151167145</v>
      </c>
      <c r="AS87" s="189">
        <f t="shared" si="103"/>
        <v>100.0278810473798</v>
      </c>
      <c r="AT87" s="190">
        <f>SUM(AT89:AT93)</f>
        <v>27218575.3</v>
      </c>
      <c r="AU87" s="129">
        <f>AT87*100/I87</f>
        <v>100.00157284769185</v>
      </c>
      <c r="AV87" s="213" t="s">
        <v>147</v>
      </c>
      <c r="AW87" s="191">
        <f>SUM(AW89:AW93)</f>
        <v>4655491.899999999</v>
      </c>
      <c r="AX87" s="191">
        <f>SUM(AX89:AX93)</f>
        <v>4702853.2</v>
      </c>
      <c r="AY87" s="134">
        <f t="shared" si="104"/>
        <v>101.01732106976709</v>
      </c>
      <c r="AZ87" s="204"/>
      <c r="BA87" s="103"/>
    </row>
    <row r="88" spans="1:53" s="102" customFormat="1" ht="25.5">
      <c r="A88" s="256"/>
      <c r="B88" s="256"/>
      <c r="C88" s="256"/>
      <c r="D88" s="256"/>
      <c r="E88" s="256"/>
      <c r="F88" s="136" t="s">
        <v>29</v>
      </c>
      <c r="G88" s="137"/>
      <c r="H88" s="137"/>
      <c r="I88" s="137"/>
      <c r="J88" s="137"/>
      <c r="K88" s="137"/>
      <c r="L88" s="137"/>
      <c r="M88" s="137"/>
      <c r="N88" s="137"/>
      <c r="O88" s="137"/>
      <c r="P88" s="137"/>
      <c r="Q88" s="137"/>
      <c r="R88" s="137"/>
      <c r="S88" s="139"/>
      <c r="T88" s="137"/>
      <c r="U88" s="137"/>
      <c r="V88" s="137"/>
      <c r="W88" s="137"/>
      <c r="X88" s="137"/>
      <c r="Y88" s="137"/>
      <c r="Z88" s="137"/>
      <c r="AA88" s="137"/>
      <c r="AB88" s="137"/>
      <c r="AC88" s="137"/>
      <c r="AD88" s="137"/>
      <c r="AE88" s="138"/>
      <c r="AF88" s="137"/>
      <c r="AG88" s="137"/>
      <c r="AH88" s="137"/>
      <c r="AI88" s="137"/>
      <c r="AJ88" s="137"/>
      <c r="AK88" s="137"/>
      <c r="AL88" s="137"/>
      <c r="AM88" s="137"/>
      <c r="AN88" s="139"/>
      <c r="AO88" s="138"/>
      <c r="AP88" s="137"/>
      <c r="AQ88" s="139"/>
      <c r="AR88" s="140"/>
      <c r="AS88" s="139"/>
      <c r="AT88" s="142"/>
      <c r="AU88" s="143"/>
      <c r="AV88" s="101"/>
      <c r="AW88" s="194"/>
      <c r="AX88" s="142"/>
      <c r="AY88" s="193"/>
      <c r="AZ88" s="101"/>
      <c r="BA88" s="103"/>
    </row>
    <row r="89" spans="1:53" s="102" customFormat="1" ht="38.25">
      <c r="A89" s="256"/>
      <c r="B89" s="256"/>
      <c r="C89" s="256"/>
      <c r="D89" s="256"/>
      <c r="E89" s="256"/>
      <c r="F89" s="144" t="s">
        <v>27</v>
      </c>
      <c r="G89" s="179">
        <v>187462.1</v>
      </c>
      <c r="H89" s="179">
        <v>187462.1</v>
      </c>
      <c r="I89" s="180">
        <v>175173.5</v>
      </c>
      <c r="J89" s="180">
        <v>155839.1</v>
      </c>
      <c r="K89" s="180">
        <v>187462.1</v>
      </c>
      <c r="L89" s="180">
        <v>187462.1</v>
      </c>
      <c r="M89" s="180">
        <v>187462.1</v>
      </c>
      <c r="N89" s="180">
        <v>181746.3</v>
      </c>
      <c r="O89" s="197">
        <v>153382.2</v>
      </c>
      <c r="P89" s="197">
        <v>181746.30099999995</v>
      </c>
      <c r="Q89" s="197">
        <v>181746.30099999995</v>
      </c>
      <c r="R89" s="197">
        <v>173481.3</v>
      </c>
      <c r="S89" s="198">
        <v>173481.3</v>
      </c>
      <c r="T89" s="167">
        <v>153382.2</v>
      </c>
      <c r="U89" s="167">
        <v>153382.2</v>
      </c>
      <c r="V89" s="167">
        <v>153382.2</v>
      </c>
      <c r="W89" s="167">
        <v>153382.2</v>
      </c>
      <c r="X89" s="167">
        <v>153382.2</v>
      </c>
      <c r="Y89" s="167">
        <v>153382.2</v>
      </c>
      <c r="Z89" s="167">
        <v>153382.2</v>
      </c>
      <c r="AA89" s="167">
        <v>153382.2</v>
      </c>
      <c r="AB89" s="167">
        <v>153382.2</v>
      </c>
      <c r="AC89" s="167">
        <v>153382.2</v>
      </c>
      <c r="AD89" s="167">
        <v>153382.2</v>
      </c>
      <c r="AE89" s="167">
        <v>153382.2</v>
      </c>
      <c r="AF89" s="167">
        <v>153382.2</v>
      </c>
      <c r="AG89" s="167">
        <v>153382.2</v>
      </c>
      <c r="AH89" s="167">
        <v>173412.4</v>
      </c>
      <c r="AI89" s="167">
        <f aca="true" t="shared" si="106" ref="AI89:AI94">IF(O89=0,0,AH89*100/O89)</f>
        <v>113.05901206267741</v>
      </c>
      <c r="AJ89" s="167">
        <v>171943.3</v>
      </c>
      <c r="AK89" s="167">
        <f aca="true" t="shared" si="107" ref="AK89:AK94">IF(P89=0,0,AJ89*100/P89)</f>
        <v>94.6062170475756</v>
      </c>
      <c r="AL89" s="197">
        <v>172047.7</v>
      </c>
      <c r="AM89" s="134">
        <f aca="true" t="shared" si="108" ref="AM89:AM94">IF(Q89=0,0,AL89*100/Q89)</f>
        <v>94.66365975723492</v>
      </c>
      <c r="AN89" s="198">
        <v>172770.6</v>
      </c>
      <c r="AO89" s="153">
        <f aca="true" t="shared" si="109" ref="AO89:AO94">AN89/I89*100</f>
        <v>98.62827425381123</v>
      </c>
      <c r="AP89" s="134">
        <f aca="true" t="shared" si="110" ref="AP89:AP94">IF(R89=0,0,AN89*100/R89)</f>
        <v>99.59033048518775</v>
      </c>
      <c r="AQ89" s="198">
        <v>173616.6</v>
      </c>
      <c r="AR89" s="154">
        <f aca="true" t="shared" si="111" ref="AR89:AR94">AQ89/I89*100</f>
        <v>99.11122401504794</v>
      </c>
      <c r="AS89" s="243">
        <f aca="true" t="shared" si="112" ref="AS89:AS94">IF(S89=0,0,AQ89*100/S89)</f>
        <v>100.07799111489251</v>
      </c>
      <c r="AT89" s="197">
        <v>174102.3</v>
      </c>
      <c r="AU89" s="129">
        <f aca="true" t="shared" si="113" ref="AU89:AU94">AT89*100/I89</f>
        <v>99.3884919808076</v>
      </c>
      <c r="AV89" s="101"/>
      <c r="AW89" s="197">
        <v>1397.9</v>
      </c>
      <c r="AX89" s="197">
        <v>2112.3</v>
      </c>
      <c r="AY89" s="167">
        <f aca="true" t="shared" si="114" ref="AY89:AY94">IF(AW89=0,0,AX89*100/AW89)</f>
        <v>151.10522927248016</v>
      </c>
      <c r="AZ89" s="101"/>
      <c r="BA89" s="103"/>
    </row>
    <row r="90" spans="1:53" s="102" customFormat="1" ht="51">
      <c r="A90" s="256"/>
      <c r="B90" s="256"/>
      <c r="C90" s="256"/>
      <c r="D90" s="256"/>
      <c r="E90" s="256"/>
      <c r="F90" s="145" t="s">
        <v>30</v>
      </c>
      <c r="G90" s="179">
        <v>8994394.7</v>
      </c>
      <c r="H90" s="179">
        <v>8994394.7</v>
      </c>
      <c r="I90" s="180">
        <v>13669381.5</v>
      </c>
      <c r="J90" s="180">
        <v>9107115.7</v>
      </c>
      <c r="K90" s="180">
        <v>9107115.7</v>
      </c>
      <c r="L90" s="180">
        <v>9107115.7</v>
      </c>
      <c r="M90" s="180">
        <v>9107115.7</v>
      </c>
      <c r="N90" s="180">
        <v>10233913.5</v>
      </c>
      <c r="O90" s="197">
        <v>10233913.5</v>
      </c>
      <c r="P90" s="197">
        <v>10233913.5</v>
      </c>
      <c r="Q90" s="197">
        <v>12100413.5</v>
      </c>
      <c r="R90" s="197">
        <v>13669381.5</v>
      </c>
      <c r="S90" s="198">
        <v>13669381.5</v>
      </c>
      <c r="T90" s="167">
        <v>10233913.5</v>
      </c>
      <c r="U90" s="167">
        <v>10233913.5</v>
      </c>
      <c r="V90" s="167">
        <v>10233913.5</v>
      </c>
      <c r="W90" s="167">
        <v>10233913.5</v>
      </c>
      <c r="X90" s="167">
        <v>10233913.5</v>
      </c>
      <c r="Y90" s="167">
        <v>10233913.5</v>
      </c>
      <c r="Z90" s="167">
        <v>10233913.5</v>
      </c>
      <c r="AA90" s="167">
        <v>10233913.5</v>
      </c>
      <c r="AB90" s="167">
        <v>10233913.5</v>
      </c>
      <c r="AC90" s="167">
        <v>10233913.5</v>
      </c>
      <c r="AD90" s="167">
        <v>10233913.5</v>
      </c>
      <c r="AE90" s="167">
        <v>10233913.5</v>
      </c>
      <c r="AF90" s="167">
        <v>10233913.5</v>
      </c>
      <c r="AG90" s="167">
        <v>10233913.5</v>
      </c>
      <c r="AH90" s="167">
        <v>5650234.2</v>
      </c>
      <c r="AI90" s="167">
        <f t="shared" si="106"/>
        <v>55.21088486823736</v>
      </c>
      <c r="AJ90" s="167">
        <v>6342654.5</v>
      </c>
      <c r="AK90" s="167">
        <f t="shared" si="107"/>
        <v>61.97682343123186</v>
      </c>
      <c r="AL90" s="165">
        <v>7645176.6</v>
      </c>
      <c r="AM90" s="134">
        <f t="shared" si="108"/>
        <v>63.181118562601185</v>
      </c>
      <c r="AN90" s="166">
        <v>9219571.1</v>
      </c>
      <c r="AO90" s="153">
        <f t="shared" si="109"/>
        <v>67.44687826585277</v>
      </c>
      <c r="AP90" s="134">
        <f t="shared" si="110"/>
        <v>67.44687826585277</v>
      </c>
      <c r="AQ90" s="166">
        <v>13574085.3</v>
      </c>
      <c r="AR90" s="154">
        <f t="shared" si="111"/>
        <v>99.30284921815958</v>
      </c>
      <c r="AS90" s="243">
        <f t="shared" si="112"/>
        <v>99.30284921815958</v>
      </c>
      <c r="AT90" s="165">
        <v>13660992.1</v>
      </c>
      <c r="AU90" s="129">
        <f t="shared" si="113"/>
        <v>99.93862633799489</v>
      </c>
      <c r="AV90" s="101"/>
      <c r="AW90" s="219">
        <v>1556503.5</v>
      </c>
      <c r="AX90" s="219">
        <v>1556270.1</v>
      </c>
      <c r="AY90" s="167">
        <f t="shared" si="114"/>
        <v>99.98500485222166</v>
      </c>
      <c r="AZ90" s="101"/>
      <c r="BA90" s="103"/>
    </row>
    <row r="91" spans="1:53" s="102" customFormat="1" ht="63.75">
      <c r="A91" s="256"/>
      <c r="B91" s="256"/>
      <c r="C91" s="256"/>
      <c r="D91" s="256"/>
      <c r="E91" s="256"/>
      <c r="F91" s="145" t="s">
        <v>38</v>
      </c>
      <c r="G91" s="179">
        <v>327346.1</v>
      </c>
      <c r="H91" s="179">
        <v>327346.1</v>
      </c>
      <c r="I91" s="165">
        <v>925948.6</v>
      </c>
      <c r="J91" s="180">
        <v>342641.9</v>
      </c>
      <c r="K91" s="180">
        <v>342641.9</v>
      </c>
      <c r="L91" s="180">
        <v>342641.9</v>
      </c>
      <c r="M91" s="180">
        <v>342641.9</v>
      </c>
      <c r="N91" s="180">
        <v>487709.5</v>
      </c>
      <c r="O91" s="197">
        <v>487709.5</v>
      </c>
      <c r="P91" s="197">
        <v>487709.5</v>
      </c>
      <c r="Q91" s="165">
        <v>749256.6</v>
      </c>
      <c r="R91" s="165">
        <v>925948.6</v>
      </c>
      <c r="S91" s="166">
        <v>925948.6</v>
      </c>
      <c r="T91" s="165">
        <v>0</v>
      </c>
      <c r="U91" s="167">
        <f>SUM(T91/G91*100)</f>
        <v>0</v>
      </c>
      <c r="V91" s="165">
        <v>1600</v>
      </c>
      <c r="W91" s="167">
        <f>IF(H91=0,0,V91*100/H91)</f>
        <v>0.48877930728363655</v>
      </c>
      <c r="X91" s="165">
        <v>40366.5</v>
      </c>
      <c r="Y91" s="167">
        <f>IF(J91=0,0,X91*100/J91)</f>
        <v>11.780958487563838</v>
      </c>
      <c r="Z91" s="165">
        <v>52844.25</v>
      </c>
      <c r="AA91" s="167">
        <f>IF(K91=0,0,Z91*100/K91)</f>
        <v>15.422588422490069</v>
      </c>
      <c r="AB91" s="165">
        <v>58003.9</v>
      </c>
      <c r="AC91" s="167">
        <f>IF(L91=0,0,AB91*100/L91)</f>
        <v>16.92843169501453</v>
      </c>
      <c r="AD91" s="165">
        <v>82969.1</v>
      </c>
      <c r="AE91" s="167">
        <f>IF(O91=0,0,AD91*100/O91)</f>
        <v>17.01199176969077</v>
      </c>
      <c r="AF91" s="165">
        <v>120229.5</v>
      </c>
      <c r="AG91" s="167">
        <f>IF(N91=0,0,AF91*100/N91)</f>
        <v>24.651867556403968</v>
      </c>
      <c r="AH91" s="167">
        <v>194202.4845988889</v>
      </c>
      <c r="AI91" s="167">
        <f t="shared" si="106"/>
        <v>39.81929501042914</v>
      </c>
      <c r="AJ91" s="167">
        <v>231343.54154333338</v>
      </c>
      <c r="AK91" s="167">
        <f t="shared" si="107"/>
        <v>47.43470068623502</v>
      </c>
      <c r="AL91" s="165">
        <v>337244.9</v>
      </c>
      <c r="AM91" s="134">
        <f t="shared" si="108"/>
        <v>45.010601174550885</v>
      </c>
      <c r="AN91" s="166">
        <v>468606.2</v>
      </c>
      <c r="AO91" s="153">
        <f t="shared" si="109"/>
        <v>50.60823030565628</v>
      </c>
      <c r="AP91" s="134">
        <f t="shared" si="110"/>
        <v>50.60823030565628</v>
      </c>
      <c r="AQ91" s="166">
        <v>921801</v>
      </c>
      <c r="AR91" s="154">
        <f t="shared" si="111"/>
        <v>99.5520701689057</v>
      </c>
      <c r="AS91" s="243">
        <f t="shared" si="112"/>
        <v>99.5520701689057</v>
      </c>
      <c r="AT91" s="165">
        <v>925948.6</v>
      </c>
      <c r="AU91" s="129">
        <f t="shared" si="113"/>
        <v>100</v>
      </c>
      <c r="AV91" s="101"/>
      <c r="AW91" s="219">
        <v>136882.9</v>
      </c>
      <c r="AX91" s="219">
        <v>135774.3</v>
      </c>
      <c r="AY91" s="167">
        <f t="shared" si="114"/>
        <v>99.19011067123796</v>
      </c>
      <c r="AZ91" s="101"/>
      <c r="BA91" s="103"/>
    </row>
    <row r="92" spans="1:53" s="102" customFormat="1" ht="51">
      <c r="A92" s="256"/>
      <c r="B92" s="256"/>
      <c r="C92" s="256"/>
      <c r="D92" s="256"/>
      <c r="E92" s="256"/>
      <c r="F92" s="145" t="s">
        <v>23</v>
      </c>
      <c r="G92" s="179">
        <v>206000</v>
      </c>
      <c r="H92" s="179">
        <v>206000</v>
      </c>
      <c r="I92" s="180">
        <v>506165.3</v>
      </c>
      <c r="J92" s="180">
        <v>206000</v>
      </c>
      <c r="K92" s="180">
        <v>206000</v>
      </c>
      <c r="L92" s="180">
        <v>206000</v>
      </c>
      <c r="M92" s="180">
        <v>206000</v>
      </c>
      <c r="N92" s="180">
        <v>507841.3</v>
      </c>
      <c r="O92" s="197">
        <v>507841.3</v>
      </c>
      <c r="P92" s="197">
        <v>507841.3</v>
      </c>
      <c r="Q92" s="197">
        <v>507841.3</v>
      </c>
      <c r="R92" s="165">
        <v>507841.3</v>
      </c>
      <c r="S92" s="166">
        <v>507841.3</v>
      </c>
      <c r="T92" s="165">
        <v>0</v>
      </c>
      <c r="U92" s="167">
        <f>SUM(T92/G92*100)</f>
        <v>0</v>
      </c>
      <c r="V92" s="165">
        <v>0</v>
      </c>
      <c r="W92" s="167">
        <f>IF(H92=0,0,V92*100/H92)</f>
        <v>0</v>
      </c>
      <c r="X92" s="165">
        <v>335.9</v>
      </c>
      <c r="Y92" s="167">
        <f>IF(J92=0,0,X92*100/J92)</f>
        <v>0.16305825242718447</v>
      </c>
      <c r="Z92" s="165">
        <v>335.9</v>
      </c>
      <c r="AA92" s="167">
        <f>IF(K92=0,0,Z92*100/K92)</f>
        <v>0.16305825242718447</v>
      </c>
      <c r="AB92" s="165">
        <v>28609.9</v>
      </c>
      <c r="AC92" s="167">
        <f>IF(L92=0,0,AB92*100/L92)</f>
        <v>13.888300970873786</v>
      </c>
      <c r="AD92" s="165">
        <v>28609.9</v>
      </c>
      <c r="AE92" s="167">
        <f>IF(O92=0,0,AD92*100/O92)</f>
        <v>5.633630033634524</v>
      </c>
      <c r="AF92" s="165">
        <v>39958.4</v>
      </c>
      <c r="AG92" s="167">
        <f>IF(N92=0,0,AF92*100/N92)</f>
        <v>7.868284836227381</v>
      </c>
      <c r="AH92" s="167">
        <v>72943.1</v>
      </c>
      <c r="AI92" s="167">
        <f t="shared" si="106"/>
        <v>14.363365090629692</v>
      </c>
      <c r="AJ92" s="167">
        <v>177761</v>
      </c>
      <c r="AK92" s="167">
        <f t="shared" si="107"/>
        <v>35.00325790753923</v>
      </c>
      <c r="AL92" s="165">
        <v>209025.4</v>
      </c>
      <c r="AM92" s="134">
        <f t="shared" si="108"/>
        <v>41.15959060438763</v>
      </c>
      <c r="AN92" s="166">
        <v>315042.3</v>
      </c>
      <c r="AO92" s="153">
        <f t="shared" si="109"/>
        <v>62.240991233496246</v>
      </c>
      <c r="AP92" s="134">
        <f t="shared" si="110"/>
        <v>62.035580800537495</v>
      </c>
      <c r="AQ92" s="166">
        <v>491833.3</v>
      </c>
      <c r="AR92" s="154">
        <f t="shared" si="111"/>
        <v>97.16851392223055</v>
      </c>
      <c r="AS92" s="243">
        <f t="shared" si="112"/>
        <v>96.84783415606411</v>
      </c>
      <c r="AT92" s="165">
        <v>507055.3</v>
      </c>
      <c r="AU92" s="129">
        <f t="shared" si="113"/>
        <v>100.17583188733009</v>
      </c>
      <c r="AV92" s="101"/>
      <c r="AW92" s="219">
        <v>118688.8</v>
      </c>
      <c r="AX92" s="219">
        <v>118688.8</v>
      </c>
      <c r="AY92" s="167">
        <f t="shared" si="114"/>
        <v>100</v>
      </c>
      <c r="AZ92" s="101"/>
      <c r="BA92" s="103"/>
    </row>
    <row r="93" spans="1:53" s="102" customFormat="1" ht="38.25">
      <c r="A93" s="256"/>
      <c r="B93" s="256"/>
      <c r="C93" s="256"/>
      <c r="D93" s="256"/>
      <c r="E93" s="256"/>
      <c r="F93" s="145" t="s">
        <v>44</v>
      </c>
      <c r="G93" s="179">
        <v>15862033.9</v>
      </c>
      <c r="H93" s="179">
        <v>15862033.9</v>
      </c>
      <c r="I93" s="180">
        <v>11941478.3</v>
      </c>
      <c r="J93" s="180">
        <v>15862033.9</v>
      </c>
      <c r="K93" s="180">
        <v>15862033.9</v>
      </c>
      <c r="L93" s="180">
        <v>15862033.9</v>
      </c>
      <c r="M93" s="180">
        <v>15862033.9</v>
      </c>
      <c r="N93" s="180">
        <v>11858033.9</v>
      </c>
      <c r="O93" s="197">
        <v>11858033.9</v>
      </c>
      <c r="P93" s="197">
        <v>11858033.9</v>
      </c>
      <c r="Q93" s="180">
        <v>11852478.3</v>
      </c>
      <c r="R93" s="180">
        <v>11941478.3</v>
      </c>
      <c r="S93" s="200">
        <v>11941478.3</v>
      </c>
      <c r="T93" s="165">
        <v>0</v>
      </c>
      <c r="U93" s="167">
        <f>SUM(T93/G93*100)</f>
        <v>0</v>
      </c>
      <c r="V93" s="169">
        <v>27556.2</v>
      </c>
      <c r="W93" s="167">
        <f>IF(H93=0,0,V93*100/H93)</f>
        <v>0.17372425360911628</v>
      </c>
      <c r="X93" s="165">
        <v>96651.1</v>
      </c>
      <c r="Y93" s="167">
        <f>IF(J93=0,0,X93*100/J93)</f>
        <v>0.6093234991762311</v>
      </c>
      <c r="Z93" s="165">
        <v>212964.19999999998</v>
      </c>
      <c r="AA93" s="167">
        <f>IF(K93=0,0,Z93*100/K93)</f>
        <v>1.3426033593333828</v>
      </c>
      <c r="AB93" s="165">
        <v>212964.2</v>
      </c>
      <c r="AC93" s="167">
        <f>IF(L93=0,0,AB93*100/L93)</f>
        <v>1.3426033593333828</v>
      </c>
      <c r="AD93" s="165">
        <v>3717336.7</v>
      </c>
      <c r="AE93" s="167">
        <f>IF(O93=0,0,AD93*100/O93)</f>
        <v>31.348676613245303</v>
      </c>
      <c r="AF93" s="165">
        <v>5047078.498</v>
      </c>
      <c r="AG93" s="167">
        <f>IF(N93=0,0,AF93*100/N93)</f>
        <v>42.56252377554764</v>
      </c>
      <c r="AH93" s="167">
        <v>5946271.5479999995</v>
      </c>
      <c r="AI93" s="167">
        <f t="shared" si="106"/>
        <v>50.14550977122775</v>
      </c>
      <c r="AJ93" s="167">
        <v>7497411.27</v>
      </c>
      <c r="AK93" s="167">
        <f t="shared" si="107"/>
        <v>63.22642803374006</v>
      </c>
      <c r="AL93" s="165">
        <v>7543256.1</v>
      </c>
      <c r="AM93" s="134">
        <f t="shared" si="108"/>
        <v>63.64285940097439</v>
      </c>
      <c r="AN93" s="166">
        <v>10433263.9</v>
      </c>
      <c r="AO93" s="153">
        <f t="shared" si="109"/>
        <v>87.36995234501242</v>
      </c>
      <c r="AP93" s="134">
        <f t="shared" si="110"/>
        <v>87.36995234501242</v>
      </c>
      <c r="AQ93" s="166">
        <v>12064383.5</v>
      </c>
      <c r="AR93" s="154">
        <f t="shared" si="111"/>
        <v>101.0292293542919</v>
      </c>
      <c r="AS93" s="243">
        <f t="shared" si="112"/>
        <v>101.02922935429191</v>
      </c>
      <c r="AT93" s="165">
        <v>11950477</v>
      </c>
      <c r="AU93" s="129">
        <f t="shared" si="113"/>
        <v>100.07535666668673</v>
      </c>
      <c r="AV93" s="101"/>
      <c r="AW93" s="219">
        <v>2842018.8</v>
      </c>
      <c r="AX93" s="219">
        <v>2890007.7</v>
      </c>
      <c r="AY93" s="167">
        <f t="shared" si="114"/>
        <v>101.68854970276763</v>
      </c>
      <c r="AZ93" s="101"/>
      <c r="BA93" s="103"/>
    </row>
    <row r="94" spans="1:53" s="102" customFormat="1" ht="409.5">
      <c r="A94" s="124" t="s">
        <v>4</v>
      </c>
      <c r="B94" s="124">
        <v>12</v>
      </c>
      <c r="C94" s="212" t="s">
        <v>67</v>
      </c>
      <c r="D94" s="124" t="s">
        <v>202</v>
      </c>
      <c r="E94" s="124" t="s">
        <v>74</v>
      </c>
      <c r="F94" s="128" t="s">
        <v>26</v>
      </c>
      <c r="G94" s="149">
        <f aca="true" t="shared" si="115" ref="G94:T94">SUM(G96:G100)</f>
        <v>19903803.6</v>
      </c>
      <c r="H94" s="149">
        <f t="shared" si="115"/>
        <v>19903803.6</v>
      </c>
      <c r="I94" s="149">
        <f t="shared" si="115"/>
        <v>10175942.1</v>
      </c>
      <c r="J94" s="149">
        <f t="shared" si="115"/>
        <v>10999509.1</v>
      </c>
      <c r="K94" s="149">
        <f t="shared" si="115"/>
        <v>10999509.1</v>
      </c>
      <c r="L94" s="149">
        <f t="shared" si="115"/>
        <v>10887732.1</v>
      </c>
      <c r="M94" s="149">
        <f t="shared" si="115"/>
        <v>10942254.1</v>
      </c>
      <c r="N94" s="149">
        <f t="shared" si="115"/>
        <v>10942254.1</v>
      </c>
      <c r="O94" s="149">
        <f t="shared" si="115"/>
        <v>10942254.1</v>
      </c>
      <c r="P94" s="149">
        <f t="shared" si="115"/>
        <v>11029070.4</v>
      </c>
      <c r="Q94" s="149">
        <f t="shared" si="115"/>
        <v>11029070.4</v>
      </c>
      <c r="R94" s="149">
        <f t="shared" si="115"/>
        <v>11332754.1</v>
      </c>
      <c r="S94" s="152">
        <f t="shared" si="115"/>
        <v>10184442.1</v>
      </c>
      <c r="T94" s="149">
        <f t="shared" si="115"/>
        <v>1390.5</v>
      </c>
      <c r="U94" s="150">
        <f>SUM(T94/G94*100)</f>
        <v>0.00698610189260509</v>
      </c>
      <c r="V94" s="149">
        <f>SUM(V96:V100)</f>
        <v>242930.33000000002</v>
      </c>
      <c r="W94" s="150">
        <f>IF(H94=0,0,V94*100/H94)</f>
        <v>1.2205221418081114</v>
      </c>
      <c r="X94" s="149">
        <f>SUM(X96:X100)</f>
        <v>500118.6</v>
      </c>
      <c r="Y94" s="150">
        <f>IF(J94=0,0,X94*100/J94)</f>
        <v>4.54673563568396</v>
      </c>
      <c r="Z94" s="149">
        <f>SUM(Z96:Z100)</f>
        <v>794652.5</v>
      </c>
      <c r="AA94" s="150">
        <f>IF(K94=0,0,Z94*100/K94)</f>
        <v>7.224436043241239</v>
      </c>
      <c r="AB94" s="149">
        <f>SUM(AB96:AB100)</f>
        <v>1928091.6</v>
      </c>
      <c r="AC94" s="150">
        <f>IF(L94=0,0,AB94*100/L94)</f>
        <v>17.70884498526557</v>
      </c>
      <c r="AD94" s="149">
        <f>SUM(AD96:AD100)</f>
        <v>2088579.6</v>
      </c>
      <c r="AE94" s="151">
        <f>IF(O94=0,0,AD94*100/O94)</f>
        <v>19.08728842259293</v>
      </c>
      <c r="AF94" s="149">
        <f>SUM(AF96:AF100)</f>
        <v>2629780.9000000004</v>
      </c>
      <c r="AG94" s="150">
        <f>AF94/N94*100</f>
        <v>24.033264773114713</v>
      </c>
      <c r="AH94" s="149">
        <f>SUM(AH96:AH100)</f>
        <v>3186114.7</v>
      </c>
      <c r="AI94" s="150">
        <f t="shared" si="106"/>
        <v>29.11753529832578</v>
      </c>
      <c r="AJ94" s="149">
        <f>SUM(AJ96:AJ100)</f>
        <v>6274523.3</v>
      </c>
      <c r="AK94" s="150">
        <f t="shared" si="107"/>
        <v>56.89077204548445</v>
      </c>
      <c r="AL94" s="149">
        <f>SUM(AL96:AL100)</f>
        <v>6742229.6</v>
      </c>
      <c r="AM94" s="150">
        <f t="shared" si="108"/>
        <v>61.13144041586678</v>
      </c>
      <c r="AN94" s="152">
        <f>SUM(AN96:AN100)</f>
        <v>7120368.7</v>
      </c>
      <c r="AO94" s="153">
        <f t="shared" si="109"/>
        <v>69.97257482430055</v>
      </c>
      <c r="AP94" s="150">
        <f t="shared" si="110"/>
        <v>62.829993814125025</v>
      </c>
      <c r="AQ94" s="152">
        <f>SUM(AQ96:AQ100)</f>
        <v>9641089.5</v>
      </c>
      <c r="AR94" s="154">
        <f t="shared" si="111"/>
        <v>94.74395004664974</v>
      </c>
      <c r="AS94" s="189">
        <f t="shared" si="112"/>
        <v>94.66487614476202</v>
      </c>
      <c r="AT94" s="190">
        <f>SUM(AT96:AT100)</f>
        <v>11257121.2</v>
      </c>
      <c r="AU94" s="129">
        <f t="shared" si="113"/>
        <v>110.6248550687017</v>
      </c>
      <c r="AV94" s="213" t="s">
        <v>139</v>
      </c>
      <c r="AW94" s="191">
        <f>SUM(AW96:AW100)</f>
        <v>376268.60000000003</v>
      </c>
      <c r="AX94" s="191">
        <f>SUM(AX96:AX100)</f>
        <v>377664.9</v>
      </c>
      <c r="AY94" s="134">
        <f t="shared" si="114"/>
        <v>100.37109128957346</v>
      </c>
      <c r="AZ94" s="204"/>
      <c r="BA94" s="103"/>
    </row>
    <row r="95" spans="1:53" s="102" customFormat="1" ht="25.5">
      <c r="A95" s="256"/>
      <c r="B95" s="256"/>
      <c r="C95" s="256"/>
      <c r="D95" s="256"/>
      <c r="E95" s="256"/>
      <c r="F95" s="136" t="s">
        <v>29</v>
      </c>
      <c r="G95" s="137"/>
      <c r="H95" s="137"/>
      <c r="I95" s="137"/>
      <c r="J95" s="137"/>
      <c r="K95" s="137"/>
      <c r="L95" s="137"/>
      <c r="M95" s="137"/>
      <c r="N95" s="137"/>
      <c r="O95" s="137"/>
      <c r="P95" s="137"/>
      <c r="Q95" s="137"/>
      <c r="R95" s="137"/>
      <c r="S95" s="139"/>
      <c r="T95" s="137"/>
      <c r="U95" s="137"/>
      <c r="V95" s="137"/>
      <c r="W95" s="137"/>
      <c r="X95" s="137"/>
      <c r="Y95" s="137"/>
      <c r="Z95" s="137"/>
      <c r="AA95" s="137"/>
      <c r="AB95" s="137"/>
      <c r="AC95" s="137"/>
      <c r="AD95" s="137"/>
      <c r="AE95" s="138"/>
      <c r="AF95" s="137"/>
      <c r="AG95" s="137"/>
      <c r="AH95" s="137"/>
      <c r="AI95" s="137"/>
      <c r="AJ95" s="137"/>
      <c r="AK95" s="137"/>
      <c r="AL95" s="137"/>
      <c r="AM95" s="137"/>
      <c r="AN95" s="139"/>
      <c r="AO95" s="193"/>
      <c r="AP95" s="143"/>
      <c r="AQ95" s="139"/>
      <c r="AR95" s="220"/>
      <c r="AS95" s="139"/>
      <c r="AT95" s="142"/>
      <c r="AU95" s="129"/>
      <c r="AV95" s="101"/>
      <c r="AW95" s="194"/>
      <c r="AX95" s="142"/>
      <c r="AY95" s="193"/>
      <c r="AZ95" s="101"/>
      <c r="BA95" s="103"/>
    </row>
    <row r="96" spans="1:53" s="102" customFormat="1" ht="51">
      <c r="A96" s="256"/>
      <c r="B96" s="256"/>
      <c r="C96" s="256"/>
      <c r="D96" s="256"/>
      <c r="E96" s="256"/>
      <c r="F96" s="144" t="s">
        <v>121</v>
      </c>
      <c r="G96" s="179">
        <v>65755</v>
      </c>
      <c r="H96" s="179">
        <v>65755</v>
      </c>
      <c r="I96" s="180">
        <v>0</v>
      </c>
      <c r="J96" s="180">
        <v>65755</v>
      </c>
      <c r="K96" s="180">
        <v>65755</v>
      </c>
      <c r="L96" s="180">
        <v>65755</v>
      </c>
      <c r="M96" s="180">
        <v>74255</v>
      </c>
      <c r="N96" s="180">
        <v>74255</v>
      </c>
      <c r="O96" s="180">
        <f aca="true" t="shared" si="116" ref="O96:Q97">N96</f>
        <v>74255</v>
      </c>
      <c r="P96" s="180">
        <f t="shared" si="116"/>
        <v>74255</v>
      </c>
      <c r="Q96" s="180">
        <f t="shared" si="116"/>
        <v>74255</v>
      </c>
      <c r="R96" s="197">
        <v>74255</v>
      </c>
      <c r="S96" s="198">
        <v>74255</v>
      </c>
      <c r="T96" s="197">
        <v>0</v>
      </c>
      <c r="U96" s="167">
        <f>SUM(T96/G96*100)</f>
        <v>0</v>
      </c>
      <c r="V96" s="197">
        <v>0</v>
      </c>
      <c r="W96" s="167">
        <f aca="true" t="shared" si="117" ref="W96:W101">IF(H96=0,0,V96*100/H96)</f>
        <v>0</v>
      </c>
      <c r="X96" s="197">
        <v>0</v>
      </c>
      <c r="Y96" s="167">
        <f aca="true" t="shared" si="118" ref="Y96:Y101">IF(J96=0,0,X96*100/J96)</f>
        <v>0</v>
      </c>
      <c r="Z96" s="197">
        <v>0</v>
      </c>
      <c r="AA96" s="167">
        <f aca="true" t="shared" si="119" ref="AA96:AA101">IF(K96=0,0,Z96*100/K96)</f>
        <v>0</v>
      </c>
      <c r="AB96" s="197">
        <v>0</v>
      </c>
      <c r="AC96" s="167">
        <f aca="true" t="shared" si="120" ref="AC96:AC101">IF(L96=0,0,AB96*100/L96)</f>
        <v>0</v>
      </c>
      <c r="AD96" s="197">
        <v>8500</v>
      </c>
      <c r="AE96" s="167">
        <f aca="true" t="shared" si="121" ref="AE96:AE101">IF(O96=0,0,AD96*100/O96)</f>
        <v>11.447040603326375</v>
      </c>
      <c r="AF96" s="197">
        <v>8500</v>
      </c>
      <c r="AG96" s="167">
        <f aca="true" t="shared" si="122" ref="AG96:AG101">IF(N96=0,0,AF96*100/N96)</f>
        <v>11.447040603326375</v>
      </c>
      <c r="AH96" s="197">
        <v>65755</v>
      </c>
      <c r="AI96" s="167">
        <f aca="true" t="shared" si="123" ref="AI96:AI101">IF(O96=0,0,AH96*100/O96)</f>
        <v>88.55295939667363</v>
      </c>
      <c r="AJ96" s="197">
        <v>65755</v>
      </c>
      <c r="AK96" s="167">
        <f aca="true" t="shared" si="124" ref="AK96:AK101">IF(P96=0,0,AJ96*100/P96)</f>
        <v>88.55295939667363</v>
      </c>
      <c r="AL96" s="180">
        <v>65755</v>
      </c>
      <c r="AM96" s="134">
        <f aca="true" t="shared" si="125" ref="AM96:AM101">IF(Q96=0,0,AL96*100/Q96)</f>
        <v>88.55295939667363</v>
      </c>
      <c r="AN96" s="198">
        <v>65755</v>
      </c>
      <c r="AO96" s="134">
        <f>IF(W96=0,0,AS96*100/W96)</f>
        <v>0</v>
      </c>
      <c r="AP96" s="134">
        <f aca="true" t="shared" si="126" ref="AP96:AP101">IF(R96=0,0,AN96*100/R96)</f>
        <v>88.55295939667363</v>
      </c>
      <c r="AQ96" s="198">
        <v>74254.9</v>
      </c>
      <c r="AR96" s="243">
        <f>IF(Z96=0,0,AV96*100/Z96)</f>
        <v>0</v>
      </c>
      <c r="AS96" s="243">
        <f aca="true" t="shared" si="127" ref="AS96:AS101">IF(S96=0,0,AQ96*100/S96)</f>
        <v>99.99986532893406</v>
      </c>
      <c r="AT96" s="197">
        <v>74254.9</v>
      </c>
      <c r="AU96" s="129">
        <v>0</v>
      </c>
      <c r="AV96" s="101"/>
      <c r="AW96" s="180">
        <v>0</v>
      </c>
      <c r="AX96" s="180">
        <v>0</v>
      </c>
      <c r="AY96" s="167">
        <f aca="true" t="shared" si="128" ref="AY96:AY101">IF(AW96=0,0,AX96*100/AW96)</f>
        <v>0</v>
      </c>
      <c r="AZ96" s="101"/>
      <c r="BA96" s="103"/>
    </row>
    <row r="97" spans="1:53" s="102" customFormat="1" ht="51">
      <c r="A97" s="256"/>
      <c r="B97" s="256"/>
      <c r="C97" s="256"/>
      <c r="D97" s="256"/>
      <c r="E97" s="256"/>
      <c r="F97" s="145" t="s">
        <v>30</v>
      </c>
      <c r="G97" s="179">
        <v>2659000.7</v>
      </c>
      <c r="H97" s="179">
        <v>2659000.7</v>
      </c>
      <c r="I97" s="180">
        <v>3058906.6</v>
      </c>
      <c r="J97" s="180">
        <v>2770777.7</v>
      </c>
      <c r="K97" s="180">
        <v>2770777.7</v>
      </c>
      <c r="L97" s="180">
        <v>2659000.7</v>
      </c>
      <c r="M97" s="180">
        <v>2705022.7</v>
      </c>
      <c r="N97" s="180">
        <v>2705022.7</v>
      </c>
      <c r="O97" s="130">
        <f t="shared" si="116"/>
        <v>2705022.7</v>
      </c>
      <c r="P97" s="130">
        <f t="shared" si="116"/>
        <v>2705022.7</v>
      </c>
      <c r="Q97" s="130">
        <f t="shared" si="116"/>
        <v>2705022.7</v>
      </c>
      <c r="R97" s="165">
        <v>2993151.6</v>
      </c>
      <c r="S97" s="166">
        <v>2993151.6</v>
      </c>
      <c r="T97" s="165">
        <v>1390.5</v>
      </c>
      <c r="U97" s="167">
        <f>SUM(T97/G97*100)</f>
        <v>0.05229408175785738</v>
      </c>
      <c r="V97" s="219">
        <v>181263.83000000002</v>
      </c>
      <c r="W97" s="167">
        <f t="shared" si="117"/>
        <v>6.816990683755743</v>
      </c>
      <c r="X97" s="165">
        <v>297584.4</v>
      </c>
      <c r="Y97" s="167">
        <f t="shared" si="118"/>
        <v>10.74010376220366</v>
      </c>
      <c r="Z97" s="165">
        <v>465097.2</v>
      </c>
      <c r="AA97" s="167">
        <f t="shared" si="119"/>
        <v>16.785799885714397</v>
      </c>
      <c r="AB97" s="165">
        <v>685499.4</v>
      </c>
      <c r="AC97" s="167">
        <f t="shared" si="120"/>
        <v>25.78033920788362</v>
      </c>
      <c r="AD97" s="165">
        <v>817513.2</v>
      </c>
      <c r="AE97" s="167">
        <f t="shared" si="121"/>
        <v>30.222045826084933</v>
      </c>
      <c r="AF97" s="165">
        <v>1049690.5</v>
      </c>
      <c r="AG97" s="167">
        <f t="shared" si="122"/>
        <v>38.805238122400965</v>
      </c>
      <c r="AH97" s="165">
        <v>1236696</v>
      </c>
      <c r="AI97" s="167">
        <f t="shared" si="123"/>
        <v>45.71850727907015</v>
      </c>
      <c r="AJ97" s="165">
        <v>1434711.8</v>
      </c>
      <c r="AK97" s="167">
        <f t="shared" si="124"/>
        <v>53.038808140131316</v>
      </c>
      <c r="AL97" s="165">
        <v>1874185.4</v>
      </c>
      <c r="AM97" s="134">
        <f t="shared" si="125"/>
        <v>69.28538529454855</v>
      </c>
      <c r="AN97" s="166">
        <v>2009240.9</v>
      </c>
      <c r="AO97" s="153">
        <f>AN97/I97*100</f>
        <v>65.68493787943704</v>
      </c>
      <c r="AP97" s="134">
        <f t="shared" si="126"/>
        <v>67.12793631969727</v>
      </c>
      <c r="AQ97" s="166">
        <v>2984553.7</v>
      </c>
      <c r="AR97" s="154">
        <f>AQ97/I97*100</f>
        <v>97.56929812763816</v>
      </c>
      <c r="AS97" s="243">
        <f t="shared" si="127"/>
        <v>99.71274759353986</v>
      </c>
      <c r="AT97" s="165">
        <v>2927922.5</v>
      </c>
      <c r="AU97" s="129">
        <f>AT97*100/I97</f>
        <v>95.71794379076498</v>
      </c>
      <c r="AV97" s="101"/>
      <c r="AW97" s="221">
        <v>132339.7</v>
      </c>
      <c r="AX97" s="221">
        <v>133704.3</v>
      </c>
      <c r="AY97" s="167">
        <f t="shared" si="128"/>
        <v>101.03113427036631</v>
      </c>
      <c r="AZ97" s="101"/>
      <c r="BA97" s="103"/>
    </row>
    <row r="98" spans="1:53" s="102" customFormat="1" ht="63.75">
      <c r="A98" s="256"/>
      <c r="B98" s="256"/>
      <c r="C98" s="256"/>
      <c r="D98" s="256"/>
      <c r="E98" s="256"/>
      <c r="F98" s="205" t="s">
        <v>38</v>
      </c>
      <c r="G98" s="179">
        <v>1030261.4</v>
      </c>
      <c r="H98" s="179">
        <v>1030261.4</v>
      </c>
      <c r="I98" s="166">
        <v>628720.2</v>
      </c>
      <c r="J98" s="180">
        <v>980691.4</v>
      </c>
      <c r="K98" s="180">
        <v>980691.4</v>
      </c>
      <c r="L98" s="180">
        <v>980691.4</v>
      </c>
      <c r="M98" s="180">
        <v>980691.4</v>
      </c>
      <c r="N98" s="180">
        <v>980691.4</v>
      </c>
      <c r="O98" s="130">
        <f>N98</f>
        <v>980691.4</v>
      </c>
      <c r="P98" s="130">
        <v>991277.7</v>
      </c>
      <c r="Q98" s="130">
        <v>991277.7</v>
      </c>
      <c r="R98" s="165">
        <v>1064487.5</v>
      </c>
      <c r="S98" s="166">
        <v>628720.2</v>
      </c>
      <c r="T98" s="165">
        <v>0</v>
      </c>
      <c r="U98" s="167">
        <f>SUM(T98/G98*100)</f>
        <v>0</v>
      </c>
      <c r="V98" s="219">
        <v>5210.9</v>
      </c>
      <c r="W98" s="167">
        <f t="shared" si="117"/>
        <v>0.5057842601887248</v>
      </c>
      <c r="X98" s="165">
        <v>24448.8</v>
      </c>
      <c r="Y98" s="167">
        <f t="shared" si="118"/>
        <v>2.4930166615104405</v>
      </c>
      <c r="Z98" s="165">
        <v>48909.9</v>
      </c>
      <c r="AA98" s="167">
        <f t="shared" si="119"/>
        <v>4.98728754019868</v>
      </c>
      <c r="AB98" s="165">
        <v>90931.5</v>
      </c>
      <c r="AC98" s="167">
        <f t="shared" si="120"/>
        <v>9.272182870166905</v>
      </c>
      <c r="AD98" s="165">
        <v>94124.4</v>
      </c>
      <c r="AE98" s="167">
        <f t="shared" si="121"/>
        <v>9.597759295125867</v>
      </c>
      <c r="AF98" s="165">
        <v>132491.1</v>
      </c>
      <c r="AG98" s="167">
        <f t="shared" si="122"/>
        <v>13.509968579310474</v>
      </c>
      <c r="AH98" s="165">
        <v>147261.9</v>
      </c>
      <c r="AI98" s="167">
        <f t="shared" si="123"/>
        <v>15.016130456533013</v>
      </c>
      <c r="AJ98" s="165">
        <v>197682.2</v>
      </c>
      <c r="AK98" s="167">
        <f t="shared" si="124"/>
        <v>19.94216151538565</v>
      </c>
      <c r="AL98" s="165">
        <v>217145</v>
      </c>
      <c r="AM98" s="134">
        <f t="shared" si="125"/>
        <v>21.90556692640216</v>
      </c>
      <c r="AN98" s="166">
        <v>240423.4</v>
      </c>
      <c r="AO98" s="153">
        <f>AN98/I98*100</f>
        <v>38.240126530052635</v>
      </c>
      <c r="AP98" s="134">
        <f t="shared" si="126"/>
        <v>22.58583590695053</v>
      </c>
      <c r="AQ98" s="166">
        <v>452242</v>
      </c>
      <c r="AR98" s="154">
        <f>AQ98/I98*100</f>
        <v>71.93056625188757</v>
      </c>
      <c r="AS98" s="243">
        <f t="shared" si="127"/>
        <v>71.93056625188757</v>
      </c>
      <c r="AT98" s="165">
        <v>1059844.7</v>
      </c>
      <c r="AU98" s="129">
        <f>AT98*100/I98</f>
        <v>168.57175894777995</v>
      </c>
      <c r="AV98" s="101"/>
      <c r="AW98" s="130">
        <v>24123.7</v>
      </c>
      <c r="AX98" s="130">
        <v>24155.4</v>
      </c>
      <c r="AY98" s="167">
        <f t="shared" si="128"/>
        <v>100.13140604467806</v>
      </c>
      <c r="AZ98" s="101"/>
      <c r="BA98" s="103"/>
    </row>
    <row r="99" spans="1:53" s="102" customFormat="1" ht="51">
      <c r="A99" s="256"/>
      <c r="B99" s="256"/>
      <c r="C99" s="256"/>
      <c r="D99" s="256"/>
      <c r="E99" s="256"/>
      <c r="F99" s="145" t="s">
        <v>23</v>
      </c>
      <c r="G99" s="179">
        <v>0</v>
      </c>
      <c r="H99" s="179">
        <v>0</v>
      </c>
      <c r="I99" s="180">
        <v>0</v>
      </c>
      <c r="J99" s="180">
        <v>0</v>
      </c>
      <c r="K99" s="180">
        <v>0</v>
      </c>
      <c r="L99" s="180">
        <v>0</v>
      </c>
      <c r="M99" s="180">
        <v>0</v>
      </c>
      <c r="N99" s="180">
        <v>0</v>
      </c>
      <c r="O99" s="130">
        <f>N99</f>
        <v>0</v>
      </c>
      <c r="P99" s="130">
        <f>O99</f>
        <v>0</v>
      </c>
      <c r="Q99" s="165">
        <v>0</v>
      </c>
      <c r="R99" s="165">
        <v>0</v>
      </c>
      <c r="S99" s="166">
        <v>0</v>
      </c>
      <c r="T99" s="165">
        <v>0</v>
      </c>
      <c r="U99" s="167">
        <v>0</v>
      </c>
      <c r="V99" s="165">
        <v>0</v>
      </c>
      <c r="W99" s="167">
        <f t="shared" si="117"/>
        <v>0</v>
      </c>
      <c r="X99" s="165">
        <v>0</v>
      </c>
      <c r="Y99" s="167">
        <f t="shared" si="118"/>
        <v>0</v>
      </c>
      <c r="Z99" s="165">
        <v>0</v>
      </c>
      <c r="AA99" s="167">
        <f t="shared" si="119"/>
        <v>0</v>
      </c>
      <c r="AB99" s="165">
        <v>0</v>
      </c>
      <c r="AC99" s="167">
        <f t="shared" si="120"/>
        <v>0</v>
      </c>
      <c r="AD99" s="165">
        <v>0</v>
      </c>
      <c r="AE99" s="167">
        <f t="shared" si="121"/>
        <v>0</v>
      </c>
      <c r="AF99" s="165">
        <v>0</v>
      </c>
      <c r="AG99" s="167">
        <f t="shared" si="122"/>
        <v>0</v>
      </c>
      <c r="AH99" s="165">
        <v>0</v>
      </c>
      <c r="AI99" s="167">
        <f t="shared" si="123"/>
        <v>0</v>
      </c>
      <c r="AJ99" s="165">
        <v>0</v>
      </c>
      <c r="AK99" s="167">
        <f t="shared" si="124"/>
        <v>0</v>
      </c>
      <c r="AL99" s="165">
        <v>0</v>
      </c>
      <c r="AM99" s="134">
        <f t="shared" si="125"/>
        <v>0</v>
      </c>
      <c r="AN99" s="166">
        <v>0</v>
      </c>
      <c r="AO99" s="153">
        <v>0</v>
      </c>
      <c r="AP99" s="134">
        <f t="shared" si="126"/>
        <v>0</v>
      </c>
      <c r="AQ99" s="166">
        <v>0</v>
      </c>
      <c r="AR99" s="154">
        <v>0</v>
      </c>
      <c r="AS99" s="243">
        <f t="shared" si="127"/>
        <v>0</v>
      </c>
      <c r="AT99" s="165">
        <v>0</v>
      </c>
      <c r="AU99" s="292">
        <v>0</v>
      </c>
      <c r="AV99" s="101"/>
      <c r="AW99" s="130">
        <v>0</v>
      </c>
      <c r="AX99" s="130">
        <v>0</v>
      </c>
      <c r="AY99" s="167">
        <f t="shared" si="128"/>
        <v>0</v>
      </c>
      <c r="AZ99" s="101"/>
      <c r="BA99" s="103"/>
    </row>
    <row r="100" spans="1:53" s="102" customFormat="1" ht="38.25">
      <c r="A100" s="256"/>
      <c r="B100" s="256"/>
      <c r="C100" s="256"/>
      <c r="D100" s="256"/>
      <c r="E100" s="256"/>
      <c r="F100" s="205" t="s">
        <v>44</v>
      </c>
      <c r="G100" s="179">
        <v>16148786.5</v>
      </c>
      <c r="H100" s="179">
        <v>16148786.5</v>
      </c>
      <c r="I100" s="166">
        <v>6488315.3</v>
      </c>
      <c r="J100" s="180">
        <v>7182285</v>
      </c>
      <c r="K100" s="180">
        <v>7182285</v>
      </c>
      <c r="L100" s="180">
        <v>7182285</v>
      </c>
      <c r="M100" s="180">
        <v>7182285</v>
      </c>
      <c r="N100" s="180">
        <v>7182285</v>
      </c>
      <c r="O100" s="130">
        <f>N100</f>
        <v>7182285</v>
      </c>
      <c r="P100" s="130">
        <v>7258515</v>
      </c>
      <c r="Q100" s="130">
        <v>7258515</v>
      </c>
      <c r="R100" s="165">
        <v>7200860</v>
      </c>
      <c r="S100" s="166">
        <v>6488315.3</v>
      </c>
      <c r="T100" s="165">
        <v>0</v>
      </c>
      <c r="U100" s="167">
        <f>SUM(T100/G100*100)</f>
        <v>0</v>
      </c>
      <c r="V100" s="219">
        <v>56455.6</v>
      </c>
      <c r="W100" s="167">
        <f t="shared" si="117"/>
        <v>0.3495965470842035</v>
      </c>
      <c r="X100" s="219">
        <v>178085.4</v>
      </c>
      <c r="Y100" s="167">
        <f t="shared" si="118"/>
        <v>2.479508958499976</v>
      </c>
      <c r="Z100" s="165">
        <v>280645.4</v>
      </c>
      <c r="AA100" s="167">
        <f t="shared" si="119"/>
        <v>3.9074667741533515</v>
      </c>
      <c r="AB100" s="165">
        <v>1151660.7</v>
      </c>
      <c r="AC100" s="167">
        <f t="shared" si="120"/>
        <v>16.034739640657534</v>
      </c>
      <c r="AD100" s="165">
        <v>1168442</v>
      </c>
      <c r="AE100" s="167">
        <f t="shared" si="121"/>
        <v>16.268388124392168</v>
      </c>
      <c r="AF100" s="165">
        <v>1439099.3</v>
      </c>
      <c r="AG100" s="167">
        <f t="shared" si="122"/>
        <v>20.036789127694043</v>
      </c>
      <c r="AH100" s="165">
        <v>1736401.8</v>
      </c>
      <c r="AI100" s="167">
        <f t="shared" si="123"/>
        <v>24.176175130894972</v>
      </c>
      <c r="AJ100" s="165">
        <v>4576374.3</v>
      </c>
      <c r="AK100" s="167">
        <f t="shared" si="124"/>
        <v>63.048354932103884</v>
      </c>
      <c r="AL100" s="165">
        <v>4585144.2</v>
      </c>
      <c r="AM100" s="134">
        <f t="shared" si="125"/>
        <v>63.16917716640387</v>
      </c>
      <c r="AN100" s="166">
        <v>4804949.4</v>
      </c>
      <c r="AO100" s="153">
        <f>AN100/I100*100</f>
        <v>74.05542390950083</v>
      </c>
      <c r="AP100" s="134">
        <f t="shared" si="126"/>
        <v>66.72743811155891</v>
      </c>
      <c r="AQ100" s="166">
        <v>6130038.9</v>
      </c>
      <c r="AR100" s="154">
        <f>AQ100/I100*100</f>
        <v>94.47812901447622</v>
      </c>
      <c r="AS100" s="243">
        <f t="shared" si="127"/>
        <v>94.47812901447622</v>
      </c>
      <c r="AT100" s="165">
        <v>7195099.1</v>
      </c>
      <c r="AU100" s="129">
        <f>AT100*100/I100</f>
        <v>110.89317900441738</v>
      </c>
      <c r="AV100" s="101"/>
      <c r="AW100" s="130">
        <v>219805.2</v>
      </c>
      <c r="AX100" s="130">
        <v>219805.2</v>
      </c>
      <c r="AY100" s="167">
        <f t="shared" si="128"/>
        <v>100</v>
      </c>
      <c r="AZ100" s="101"/>
      <c r="BA100" s="103"/>
    </row>
    <row r="101" spans="1:53" s="102" customFormat="1" ht="409.5">
      <c r="A101" s="124" t="s">
        <v>92</v>
      </c>
      <c r="B101" s="124">
        <v>13</v>
      </c>
      <c r="C101" s="145" t="s">
        <v>68</v>
      </c>
      <c r="D101" s="124" t="s">
        <v>175</v>
      </c>
      <c r="E101" s="124" t="s">
        <v>25</v>
      </c>
      <c r="F101" s="222" t="s">
        <v>26</v>
      </c>
      <c r="G101" s="129">
        <f aca="true" t="shared" si="129" ref="G101:M101">SUM(G103:G107)</f>
        <v>823191.2</v>
      </c>
      <c r="H101" s="129">
        <f t="shared" si="129"/>
        <v>823191.2</v>
      </c>
      <c r="I101" s="129">
        <f t="shared" si="129"/>
        <v>837340.2</v>
      </c>
      <c r="J101" s="129">
        <f t="shared" si="129"/>
        <v>836396.2999999999</v>
      </c>
      <c r="K101" s="129">
        <f t="shared" si="129"/>
        <v>836396.2999999999</v>
      </c>
      <c r="L101" s="129">
        <f t="shared" si="129"/>
        <v>836396.2999999999</v>
      </c>
      <c r="M101" s="129">
        <f t="shared" si="129"/>
        <v>836396.2999999999</v>
      </c>
      <c r="N101" s="223">
        <f>M101</f>
        <v>836396.2999999999</v>
      </c>
      <c r="O101" s="129">
        <f aca="true" t="shared" si="130" ref="O101:T101">SUM(O103:O107)</f>
        <v>846048.6</v>
      </c>
      <c r="P101" s="129">
        <f t="shared" si="130"/>
        <v>846048.6</v>
      </c>
      <c r="Q101" s="223">
        <f t="shared" si="130"/>
        <v>847507.5</v>
      </c>
      <c r="R101" s="223">
        <f t="shared" si="130"/>
        <v>847507.5</v>
      </c>
      <c r="S101" s="133">
        <f t="shared" si="130"/>
        <v>847701.4</v>
      </c>
      <c r="T101" s="129">
        <f t="shared" si="130"/>
        <v>19650.1</v>
      </c>
      <c r="U101" s="153">
        <f>SUM(T101/G101*100)</f>
        <v>2.3870639044732256</v>
      </c>
      <c r="V101" s="129">
        <f>SUM(V103:V107)</f>
        <v>171818.2</v>
      </c>
      <c r="W101" s="153">
        <f t="shared" si="117"/>
        <v>20.87221049010242</v>
      </c>
      <c r="X101" s="129">
        <f>SUM(X103:X107)</f>
        <v>199707.4</v>
      </c>
      <c r="Y101" s="153">
        <f t="shared" si="118"/>
        <v>23.877126190060864</v>
      </c>
      <c r="Z101" s="129">
        <f>SUM(Z103:Z107)</f>
        <v>237327.69999999998</v>
      </c>
      <c r="AA101" s="153">
        <f t="shared" si="119"/>
        <v>28.37502987519194</v>
      </c>
      <c r="AB101" s="129">
        <f>SUM(AB103:AB107)</f>
        <v>266598.30000000005</v>
      </c>
      <c r="AC101" s="153">
        <f t="shared" si="120"/>
        <v>31.874638852419608</v>
      </c>
      <c r="AD101" s="129">
        <f>SUM(AD103:AD107)</f>
        <v>291386.69999999995</v>
      </c>
      <c r="AE101" s="153">
        <f t="shared" si="121"/>
        <v>34.44089382099326</v>
      </c>
      <c r="AF101" s="129">
        <f>SUM(AF103:AF107)</f>
        <v>336532.80000000005</v>
      </c>
      <c r="AG101" s="153">
        <f t="shared" si="122"/>
        <v>40.23604599876878</v>
      </c>
      <c r="AH101" s="129">
        <f>SUM(AH103:AH107)</f>
        <v>415962.9</v>
      </c>
      <c r="AI101" s="153">
        <f t="shared" si="123"/>
        <v>49.16536709593279</v>
      </c>
      <c r="AJ101" s="129">
        <f>SUM(AJ103:AJ107)</f>
        <v>465700.00000000006</v>
      </c>
      <c r="AK101" s="153">
        <f t="shared" si="124"/>
        <v>55.0441192149009</v>
      </c>
      <c r="AL101" s="129">
        <f>SUM(AL103:AL107)</f>
        <v>598957.4</v>
      </c>
      <c r="AM101" s="153">
        <f t="shared" si="125"/>
        <v>70.67281410488992</v>
      </c>
      <c r="AN101" s="133">
        <f>SUM(AN103:AN107)</f>
        <v>650139.4</v>
      </c>
      <c r="AO101" s="153">
        <f>AN101/I101*100</f>
        <v>77.64339989887026</v>
      </c>
      <c r="AP101" s="153">
        <f t="shared" si="126"/>
        <v>76.71193470264275</v>
      </c>
      <c r="AQ101" s="133">
        <f>SUM(AQ103:AQ107)</f>
        <v>829848.5</v>
      </c>
      <c r="AR101" s="154">
        <f>AQ101/I101*100</f>
        <v>99.1052979422223</v>
      </c>
      <c r="AS101" s="154">
        <f t="shared" si="127"/>
        <v>97.89396360558092</v>
      </c>
      <c r="AT101" s="130">
        <f>SUM(AT103:AT107)</f>
        <v>834054.4</v>
      </c>
      <c r="AU101" s="129">
        <f>AT101*100/I101</f>
        <v>99.60759079762325</v>
      </c>
      <c r="AV101" s="213" t="s">
        <v>148</v>
      </c>
      <c r="AW101" s="191">
        <f>SUM(AW103:AW107)</f>
        <v>100728.2</v>
      </c>
      <c r="AX101" s="191">
        <f>SUM(AX103:AX107)</f>
        <v>151609</v>
      </c>
      <c r="AY101" s="134">
        <f t="shared" si="128"/>
        <v>150.5129645918422</v>
      </c>
      <c r="AZ101" s="204" t="s">
        <v>224</v>
      </c>
      <c r="BA101" s="103"/>
    </row>
    <row r="102" spans="1:53" s="102" customFormat="1" ht="25.5">
      <c r="A102" s="256"/>
      <c r="B102" s="256"/>
      <c r="C102" s="256"/>
      <c r="D102" s="256"/>
      <c r="E102" s="256"/>
      <c r="F102" s="156" t="s">
        <v>29</v>
      </c>
      <c r="G102" s="129"/>
      <c r="H102" s="129"/>
      <c r="I102" s="129"/>
      <c r="J102" s="129"/>
      <c r="K102" s="129"/>
      <c r="L102" s="129"/>
      <c r="M102" s="129"/>
      <c r="N102" s="129"/>
      <c r="O102" s="129"/>
      <c r="P102" s="129"/>
      <c r="Q102" s="129"/>
      <c r="R102" s="129"/>
      <c r="S102" s="133"/>
      <c r="T102" s="129"/>
      <c r="U102" s="129"/>
      <c r="V102" s="129"/>
      <c r="W102" s="129"/>
      <c r="X102" s="129"/>
      <c r="Y102" s="129"/>
      <c r="Z102" s="129"/>
      <c r="AA102" s="129"/>
      <c r="AB102" s="129"/>
      <c r="AC102" s="129"/>
      <c r="AD102" s="129"/>
      <c r="AE102" s="153"/>
      <c r="AF102" s="129"/>
      <c r="AG102" s="129"/>
      <c r="AH102" s="129"/>
      <c r="AI102" s="129"/>
      <c r="AJ102" s="129"/>
      <c r="AK102" s="129"/>
      <c r="AL102" s="129"/>
      <c r="AM102" s="129"/>
      <c r="AN102" s="133"/>
      <c r="AO102" s="153"/>
      <c r="AP102" s="129"/>
      <c r="AQ102" s="133"/>
      <c r="AR102" s="154"/>
      <c r="AS102" s="133"/>
      <c r="AT102" s="145"/>
      <c r="AU102" s="129"/>
      <c r="AV102" s="101"/>
      <c r="AW102" s="194"/>
      <c r="AX102" s="142"/>
      <c r="AY102" s="167"/>
      <c r="AZ102" s="101"/>
      <c r="BA102" s="103"/>
    </row>
    <row r="103" spans="1:53" s="102" customFormat="1" ht="38.25">
      <c r="A103" s="256"/>
      <c r="B103" s="256"/>
      <c r="C103" s="256"/>
      <c r="D103" s="256"/>
      <c r="E103" s="256"/>
      <c r="F103" s="145" t="s">
        <v>27</v>
      </c>
      <c r="G103" s="129">
        <v>144947.6</v>
      </c>
      <c r="H103" s="129">
        <v>144947.6</v>
      </c>
      <c r="I103" s="130">
        <v>147001.1</v>
      </c>
      <c r="J103" s="130">
        <v>144947.6</v>
      </c>
      <c r="K103" s="130">
        <v>144947.6</v>
      </c>
      <c r="L103" s="130">
        <v>144947.6</v>
      </c>
      <c r="M103" s="130">
        <v>144947.6</v>
      </c>
      <c r="N103" s="165">
        <f>M103</f>
        <v>144947.6</v>
      </c>
      <c r="O103" s="130">
        <v>145549.9</v>
      </c>
      <c r="P103" s="165">
        <v>145549.9</v>
      </c>
      <c r="Q103" s="165">
        <v>147001.1</v>
      </c>
      <c r="R103" s="165">
        <v>147001.1</v>
      </c>
      <c r="S103" s="166">
        <v>146356.9</v>
      </c>
      <c r="T103" s="165">
        <v>0</v>
      </c>
      <c r="U103" s="164">
        <f>SUM(T103/G103*100)</f>
        <v>0</v>
      </c>
      <c r="V103" s="165">
        <v>108352</v>
      </c>
      <c r="W103" s="164">
        <f aca="true" t="shared" si="131" ref="W103:W108">IF(H103=0,0,V103*100/H103)</f>
        <v>74.75253125957242</v>
      </c>
      <c r="X103" s="165">
        <v>108352</v>
      </c>
      <c r="Y103" s="164">
        <f aca="true" t="shared" si="132" ref="Y103:Y108">IF(J103=0,0,X103*100/J103)</f>
        <v>74.75253125957242</v>
      </c>
      <c r="Z103" s="165">
        <v>108915.7</v>
      </c>
      <c r="AA103" s="164">
        <f aca="true" t="shared" si="133" ref="AA103:AA108">IF(K103=0,0,Z103*100/K103)</f>
        <v>75.1414304203726</v>
      </c>
      <c r="AB103" s="165">
        <v>108954.20000000001</v>
      </c>
      <c r="AC103" s="164">
        <f aca="true" t="shared" si="134" ref="AC103:AC108">IF(L103=0,0,AB103*100/L103)</f>
        <v>75.16799174322308</v>
      </c>
      <c r="AD103" s="165">
        <v>108954.20000000001</v>
      </c>
      <c r="AE103" s="164">
        <f aca="true" t="shared" si="135" ref="AE103:AE108">IF(O103=0,0,AD103*100/O103)</f>
        <v>74.85693909786268</v>
      </c>
      <c r="AF103" s="165">
        <v>108954.2</v>
      </c>
      <c r="AG103" s="164">
        <f aca="true" t="shared" si="136" ref="AG103:AG108">IF(N103=0,0,AF103*100/N103)</f>
        <v>75.16799174322307</v>
      </c>
      <c r="AH103" s="165">
        <v>112859.7</v>
      </c>
      <c r="AI103" s="164">
        <f aca="true" t="shared" si="137" ref="AI103:AI108">IF(O103=0,0,AH103*100/O103)</f>
        <v>77.54021129523277</v>
      </c>
      <c r="AJ103" s="165">
        <v>112859.7</v>
      </c>
      <c r="AK103" s="164">
        <f aca="true" t="shared" si="138" ref="AK103:AK108">IF(P103=0,0,AJ103*100/P103)</f>
        <v>77.54021129523277</v>
      </c>
      <c r="AL103" s="165">
        <v>144545.1</v>
      </c>
      <c r="AM103" s="153">
        <f aca="true" t="shared" si="139" ref="AM103:AM108">IF(Q103=0,0,AL103*100/Q103)</f>
        <v>98.32926420278487</v>
      </c>
      <c r="AN103" s="166">
        <v>145545.1</v>
      </c>
      <c r="AO103" s="153">
        <f>AN103/I103*100</f>
        <v>99.00953122119495</v>
      </c>
      <c r="AP103" s="153">
        <f aca="true" t="shared" si="140" ref="AP103:AP108">IF(R103=0,0,AN103*100/R103)</f>
        <v>99.00953122119493</v>
      </c>
      <c r="AQ103" s="166">
        <v>146310.9</v>
      </c>
      <c r="AR103" s="154">
        <f>AQ103/I103*100</f>
        <v>99.53047970389336</v>
      </c>
      <c r="AS103" s="154">
        <f aca="true" t="shared" si="141" ref="AS103:AS108">IF(S103=0,0,AQ103*100/S103)</f>
        <v>99.96856998200974</v>
      </c>
      <c r="AT103" s="164">
        <v>146135.9</v>
      </c>
      <c r="AU103" s="129">
        <f>AT103*100/I103</f>
        <v>99.4114329756716</v>
      </c>
      <c r="AV103" s="101"/>
      <c r="AW103" s="180">
        <v>807</v>
      </c>
      <c r="AX103" s="180">
        <v>807</v>
      </c>
      <c r="AY103" s="167">
        <f aca="true" t="shared" si="142" ref="AY103:AY108">IF(AW103=0,0,AX103*100/AW103)</f>
        <v>100</v>
      </c>
      <c r="AZ103" s="101"/>
      <c r="BA103" s="103"/>
    </row>
    <row r="104" spans="1:53" s="102" customFormat="1" ht="51">
      <c r="A104" s="256"/>
      <c r="B104" s="256"/>
      <c r="C104" s="256"/>
      <c r="D104" s="256"/>
      <c r="E104" s="256"/>
      <c r="F104" s="145" t="s">
        <v>30</v>
      </c>
      <c r="G104" s="129">
        <v>670187.2</v>
      </c>
      <c r="H104" s="129">
        <v>670187.2</v>
      </c>
      <c r="I104" s="130">
        <v>669077.6</v>
      </c>
      <c r="J104" s="130">
        <v>670187.2</v>
      </c>
      <c r="K104" s="130">
        <v>670187.2</v>
      </c>
      <c r="L104" s="130">
        <v>670187.2</v>
      </c>
      <c r="M104" s="130">
        <v>670187.2</v>
      </c>
      <c r="N104" s="165">
        <f>M104</f>
        <v>670187.2</v>
      </c>
      <c r="O104" s="130">
        <v>679237.2</v>
      </c>
      <c r="P104" s="165">
        <v>679237.2</v>
      </c>
      <c r="Q104" s="165">
        <v>679244.9</v>
      </c>
      <c r="R104" s="165">
        <v>679244.9</v>
      </c>
      <c r="S104" s="166">
        <v>680083</v>
      </c>
      <c r="T104" s="165">
        <v>19650.1</v>
      </c>
      <c r="U104" s="164">
        <f>SUM(T104/G104*100)</f>
        <v>2.9320315279074265</v>
      </c>
      <c r="V104" s="165">
        <v>63466.2</v>
      </c>
      <c r="W104" s="164">
        <f t="shared" si="131"/>
        <v>9.469921239916252</v>
      </c>
      <c r="X104" s="165">
        <v>89898.3</v>
      </c>
      <c r="Y104" s="164">
        <f t="shared" si="132"/>
        <v>13.413908830249222</v>
      </c>
      <c r="Z104" s="165">
        <v>126605.7</v>
      </c>
      <c r="AA104" s="164">
        <f t="shared" si="133"/>
        <v>18.89109490602029</v>
      </c>
      <c r="AB104" s="165">
        <v>155765.7</v>
      </c>
      <c r="AC104" s="164">
        <f t="shared" si="134"/>
        <v>23.242118023143387</v>
      </c>
      <c r="AD104" s="165">
        <v>179600.49999999997</v>
      </c>
      <c r="AE104" s="164">
        <f t="shared" si="135"/>
        <v>26.441499376064794</v>
      </c>
      <c r="AF104" s="165">
        <v>224629.2</v>
      </c>
      <c r="AG104" s="164">
        <f t="shared" si="136"/>
        <v>33.51738141223826</v>
      </c>
      <c r="AH104" s="165">
        <v>293037.5</v>
      </c>
      <c r="AI104" s="164">
        <f t="shared" si="137"/>
        <v>43.14214533597394</v>
      </c>
      <c r="AJ104" s="165">
        <v>340284.4</v>
      </c>
      <c r="AK104" s="164">
        <f t="shared" si="138"/>
        <v>50.09802172201405</v>
      </c>
      <c r="AL104" s="165">
        <v>439379.8</v>
      </c>
      <c r="AM104" s="153">
        <f t="shared" si="139"/>
        <v>64.68650703155814</v>
      </c>
      <c r="AN104" s="166">
        <v>484995.5</v>
      </c>
      <c r="AO104" s="153">
        <f>AN104/I104*100</f>
        <v>72.48718235373596</v>
      </c>
      <c r="AP104" s="153">
        <f t="shared" si="140"/>
        <v>71.40215554065993</v>
      </c>
      <c r="AQ104" s="166">
        <v>663445</v>
      </c>
      <c r="AR104" s="154">
        <f>AQ104/I104*100</f>
        <v>99.15815445024614</v>
      </c>
      <c r="AS104" s="154">
        <f t="shared" si="141"/>
        <v>97.55353390689078</v>
      </c>
      <c r="AT104" s="164">
        <v>667012.9</v>
      </c>
      <c r="AU104" s="129">
        <f>AT104*100/I104</f>
        <v>99.69141098132714</v>
      </c>
      <c r="AV104" s="101"/>
      <c r="AW104" s="180">
        <v>98258.5</v>
      </c>
      <c r="AX104" s="180">
        <v>150308.2</v>
      </c>
      <c r="AY104" s="167">
        <f t="shared" si="142"/>
        <v>152.9722110555321</v>
      </c>
      <c r="AZ104" s="101"/>
      <c r="BA104" s="103"/>
    </row>
    <row r="105" spans="1:53" s="102" customFormat="1" ht="63.75">
      <c r="A105" s="256"/>
      <c r="B105" s="256"/>
      <c r="C105" s="256"/>
      <c r="D105" s="256"/>
      <c r="E105" s="256"/>
      <c r="F105" s="145" t="s">
        <v>38</v>
      </c>
      <c r="G105" s="129">
        <v>8056.4</v>
      </c>
      <c r="H105" s="129">
        <v>8056.4</v>
      </c>
      <c r="I105" s="165">
        <v>21261.5</v>
      </c>
      <c r="J105" s="165">
        <v>21261.5</v>
      </c>
      <c r="K105" s="165">
        <v>21261.5</v>
      </c>
      <c r="L105" s="165">
        <v>21261.5</v>
      </c>
      <c r="M105" s="165">
        <v>21261.5</v>
      </c>
      <c r="N105" s="165">
        <v>21261.5</v>
      </c>
      <c r="O105" s="165">
        <v>21261.5</v>
      </c>
      <c r="P105" s="165">
        <v>21261.5</v>
      </c>
      <c r="Q105" s="165">
        <v>21261.5</v>
      </c>
      <c r="R105" s="165">
        <v>21261.5</v>
      </c>
      <c r="S105" s="166">
        <v>21261.5</v>
      </c>
      <c r="T105" s="165">
        <v>0</v>
      </c>
      <c r="U105" s="164">
        <f>SUM(T105/G105*100)</f>
        <v>0</v>
      </c>
      <c r="V105" s="165">
        <v>0</v>
      </c>
      <c r="W105" s="164">
        <f t="shared" si="131"/>
        <v>0</v>
      </c>
      <c r="X105" s="165">
        <v>1457.1</v>
      </c>
      <c r="Y105" s="164">
        <f t="shared" si="132"/>
        <v>6.853232368365355</v>
      </c>
      <c r="Z105" s="165">
        <v>1806.3</v>
      </c>
      <c r="AA105" s="164">
        <f t="shared" si="133"/>
        <v>8.495637654916163</v>
      </c>
      <c r="AB105" s="165">
        <v>1878.3999999999999</v>
      </c>
      <c r="AC105" s="164">
        <f t="shared" si="134"/>
        <v>8.834748253886133</v>
      </c>
      <c r="AD105" s="165">
        <v>2832</v>
      </c>
      <c r="AE105" s="164">
        <f t="shared" si="135"/>
        <v>13.31985043388284</v>
      </c>
      <c r="AF105" s="165">
        <v>2949.399999999999</v>
      </c>
      <c r="AG105" s="164">
        <f t="shared" si="136"/>
        <v>13.87202219975072</v>
      </c>
      <c r="AH105" s="165">
        <v>10065.7</v>
      </c>
      <c r="AI105" s="164">
        <f t="shared" si="137"/>
        <v>47.34237941819722</v>
      </c>
      <c r="AJ105" s="165">
        <v>12555.9</v>
      </c>
      <c r="AK105" s="164">
        <f t="shared" si="138"/>
        <v>59.05462925945959</v>
      </c>
      <c r="AL105" s="165">
        <v>15032.5</v>
      </c>
      <c r="AM105" s="153">
        <f t="shared" si="139"/>
        <v>70.70291371728241</v>
      </c>
      <c r="AN105" s="166">
        <v>19598.8</v>
      </c>
      <c r="AO105" s="153">
        <f>AN105/I105*100</f>
        <v>92.1797615408132</v>
      </c>
      <c r="AP105" s="153">
        <f t="shared" si="140"/>
        <v>92.1797615408132</v>
      </c>
      <c r="AQ105" s="166">
        <v>20092.6</v>
      </c>
      <c r="AR105" s="154">
        <f>AQ105/I105*100</f>
        <v>94.50226936011099</v>
      </c>
      <c r="AS105" s="154">
        <f t="shared" si="141"/>
        <v>94.50226936011099</v>
      </c>
      <c r="AT105" s="164">
        <v>20905.6</v>
      </c>
      <c r="AU105" s="129">
        <f>AT105*100/I105</f>
        <v>98.32608235543117</v>
      </c>
      <c r="AV105" s="101"/>
      <c r="AW105" s="180">
        <v>1662.7</v>
      </c>
      <c r="AX105" s="180">
        <v>493.8</v>
      </c>
      <c r="AY105" s="167">
        <f t="shared" si="142"/>
        <v>29.698682865219222</v>
      </c>
      <c r="AZ105" s="101"/>
      <c r="BA105" s="103"/>
    </row>
    <row r="106" spans="1:53" s="102" customFormat="1" ht="51">
      <c r="A106" s="256"/>
      <c r="B106" s="256"/>
      <c r="C106" s="256"/>
      <c r="D106" s="256"/>
      <c r="E106" s="256"/>
      <c r="F106" s="145" t="s">
        <v>23</v>
      </c>
      <c r="G106" s="129">
        <v>0</v>
      </c>
      <c r="H106" s="129">
        <v>0</v>
      </c>
      <c r="I106" s="130">
        <v>0</v>
      </c>
      <c r="J106" s="130">
        <v>0</v>
      </c>
      <c r="K106" s="130">
        <v>0</v>
      </c>
      <c r="L106" s="165">
        <v>0</v>
      </c>
      <c r="M106" s="165">
        <v>0</v>
      </c>
      <c r="N106" s="165">
        <f>M106</f>
        <v>0</v>
      </c>
      <c r="O106" s="130">
        <f>N106</f>
        <v>0</v>
      </c>
      <c r="P106" s="165">
        <v>0</v>
      </c>
      <c r="Q106" s="165">
        <v>0</v>
      </c>
      <c r="R106" s="165">
        <v>0</v>
      </c>
      <c r="S106" s="166">
        <v>0</v>
      </c>
      <c r="T106" s="165">
        <v>0</v>
      </c>
      <c r="U106" s="164">
        <v>0</v>
      </c>
      <c r="V106" s="165">
        <v>0</v>
      </c>
      <c r="W106" s="164">
        <f t="shared" si="131"/>
        <v>0</v>
      </c>
      <c r="X106" s="165">
        <v>0</v>
      </c>
      <c r="Y106" s="164">
        <f t="shared" si="132"/>
        <v>0</v>
      </c>
      <c r="Z106" s="165">
        <v>0</v>
      </c>
      <c r="AA106" s="164">
        <f t="shared" si="133"/>
        <v>0</v>
      </c>
      <c r="AB106" s="165">
        <v>0</v>
      </c>
      <c r="AC106" s="164">
        <f t="shared" si="134"/>
        <v>0</v>
      </c>
      <c r="AD106" s="165">
        <v>0</v>
      </c>
      <c r="AE106" s="164">
        <f t="shared" si="135"/>
        <v>0</v>
      </c>
      <c r="AF106" s="165">
        <v>0</v>
      </c>
      <c r="AG106" s="164">
        <f t="shared" si="136"/>
        <v>0</v>
      </c>
      <c r="AH106" s="165">
        <v>0</v>
      </c>
      <c r="AI106" s="164">
        <f t="shared" si="137"/>
        <v>0</v>
      </c>
      <c r="AJ106" s="165">
        <v>0</v>
      </c>
      <c r="AK106" s="164">
        <f t="shared" si="138"/>
        <v>0</v>
      </c>
      <c r="AL106" s="165">
        <v>0</v>
      </c>
      <c r="AM106" s="153">
        <f t="shared" si="139"/>
        <v>0</v>
      </c>
      <c r="AN106" s="166">
        <v>0</v>
      </c>
      <c r="AO106" s="153">
        <v>0</v>
      </c>
      <c r="AP106" s="153">
        <f t="shared" si="140"/>
        <v>0</v>
      </c>
      <c r="AQ106" s="166">
        <v>0</v>
      </c>
      <c r="AR106" s="154">
        <v>0</v>
      </c>
      <c r="AS106" s="154">
        <f t="shared" si="141"/>
        <v>0</v>
      </c>
      <c r="AT106" s="165">
        <v>0</v>
      </c>
      <c r="AU106" s="129">
        <v>0</v>
      </c>
      <c r="AV106" s="101"/>
      <c r="AW106" s="130">
        <v>0</v>
      </c>
      <c r="AX106" s="130">
        <v>0</v>
      </c>
      <c r="AY106" s="167">
        <f t="shared" si="142"/>
        <v>0</v>
      </c>
      <c r="AZ106" s="101"/>
      <c r="BA106" s="103"/>
    </row>
    <row r="107" spans="1:53" s="102" customFormat="1" ht="38.25">
      <c r="A107" s="256"/>
      <c r="B107" s="256"/>
      <c r="C107" s="256"/>
      <c r="D107" s="256"/>
      <c r="E107" s="256"/>
      <c r="F107" s="145" t="s">
        <v>44</v>
      </c>
      <c r="G107" s="129">
        <v>0</v>
      </c>
      <c r="H107" s="129">
        <v>0</v>
      </c>
      <c r="I107" s="130">
        <v>0</v>
      </c>
      <c r="J107" s="130">
        <v>0</v>
      </c>
      <c r="K107" s="130">
        <v>0</v>
      </c>
      <c r="L107" s="165">
        <v>0</v>
      </c>
      <c r="M107" s="165">
        <v>0</v>
      </c>
      <c r="N107" s="165">
        <f>M107</f>
        <v>0</v>
      </c>
      <c r="O107" s="130">
        <f>N107</f>
        <v>0</v>
      </c>
      <c r="P107" s="165">
        <v>0</v>
      </c>
      <c r="Q107" s="165">
        <v>0</v>
      </c>
      <c r="R107" s="165">
        <v>0</v>
      </c>
      <c r="S107" s="166">
        <v>0</v>
      </c>
      <c r="T107" s="165">
        <v>0</v>
      </c>
      <c r="U107" s="164">
        <v>0</v>
      </c>
      <c r="V107" s="165">
        <v>0</v>
      </c>
      <c r="W107" s="164">
        <f t="shared" si="131"/>
        <v>0</v>
      </c>
      <c r="X107" s="165">
        <v>0</v>
      </c>
      <c r="Y107" s="164">
        <f t="shared" si="132"/>
        <v>0</v>
      </c>
      <c r="Z107" s="165">
        <v>0</v>
      </c>
      <c r="AA107" s="164">
        <f t="shared" si="133"/>
        <v>0</v>
      </c>
      <c r="AB107" s="165">
        <v>0</v>
      </c>
      <c r="AC107" s="164">
        <f t="shared" si="134"/>
        <v>0</v>
      </c>
      <c r="AD107" s="165"/>
      <c r="AE107" s="164">
        <f t="shared" si="135"/>
        <v>0</v>
      </c>
      <c r="AF107" s="165">
        <v>0</v>
      </c>
      <c r="AG107" s="164">
        <f t="shared" si="136"/>
        <v>0</v>
      </c>
      <c r="AH107" s="165">
        <v>0</v>
      </c>
      <c r="AI107" s="164">
        <f t="shared" si="137"/>
        <v>0</v>
      </c>
      <c r="AJ107" s="165">
        <v>0</v>
      </c>
      <c r="AK107" s="164">
        <f t="shared" si="138"/>
        <v>0</v>
      </c>
      <c r="AL107" s="165">
        <v>0</v>
      </c>
      <c r="AM107" s="153">
        <f t="shared" si="139"/>
        <v>0</v>
      </c>
      <c r="AN107" s="166">
        <v>0</v>
      </c>
      <c r="AO107" s="153">
        <v>0</v>
      </c>
      <c r="AP107" s="153">
        <f t="shared" si="140"/>
        <v>0</v>
      </c>
      <c r="AQ107" s="166">
        <v>0</v>
      </c>
      <c r="AR107" s="154">
        <v>0</v>
      </c>
      <c r="AS107" s="154">
        <f t="shared" si="141"/>
        <v>0</v>
      </c>
      <c r="AT107" s="165">
        <v>0</v>
      </c>
      <c r="AU107" s="129">
        <v>0</v>
      </c>
      <c r="AV107" s="101"/>
      <c r="AW107" s="130">
        <v>0</v>
      </c>
      <c r="AX107" s="130">
        <v>0</v>
      </c>
      <c r="AY107" s="167">
        <f t="shared" si="142"/>
        <v>0</v>
      </c>
      <c r="AZ107" s="101"/>
      <c r="BA107" s="103"/>
    </row>
    <row r="108" spans="1:53" s="102" customFormat="1" ht="409.5">
      <c r="A108" s="124" t="s">
        <v>92</v>
      </c>
      <c r="B108" s="186">
        <v>14</v>
      </c>
      <c r="C108" s="187" t="s">
        <v>69</v>
      </c>
      <c r="D108" s="124" t="s">
        <v>176</v>
      </c>
      <c r="E108" s="124" t="s">
        <v>33</v>
      </c>
      <c r="F108" s="128" t="s">
        <v>26</v>
      </c>
      <c r="G108" s="149">
        <f aca="true" t="shared" si="143" ref="G108:M108">SUM(G110:G114)</f>
        <v>2957396.5</v>
      </c>
      <c r="H108" s="149">
        <f t="shared" si="143"/>
        <v>2957639.5</v>
      </c>
      <c r="I108" s="149">
        <f t="shared" si="143"/>
        <v>2824951.69</v>
      </c>
      <c r="J108" s="149">
        <f t="shared" si="143"/>
        <v>2880547.89</v>
      </c>
      <c r="K108" s="149">
        <f t="shared" si="143"/>
        <v>2880547.89</v>
      </c>
      <c r="L108" s="149">
        <f t="shared" si="143"/>
        <v>2880547.89</v>
      </c>
      <c r="M108" s="149">
        <f t="shared" si="143"/>
        <v>2824951.69</v>
      </c>
      <c r="N108" s="188"/>
      <c r="O108" s="149">
        <f>SUM(O110:O114)</f>
        <v>2824951.69</v>
      </c>
      <c r="P108" s="149">
        <f>SUM(P110:P114)</f>
        <v>2824951.69</v>
      </c>
      <c r="Q108" s="149">
        <v>2929468.3</v>
      </c>
      <c r="R108" s="149">
        <v>2929468.3</v>
      </c>
      <c r="S108" s="152">
        <v>2929468.3</v>
      </c>
      <c r="T108" s="149">
        <f>SUM(T110:T114)</f>
        <v>54517.6</v>
      </c>
      <c r="U108" s="150">
        <f>SUM(T108/G108*100)</f>
        <v>1.8434322215502723</v>
      </c>
      <c r="V108" s="149">
        <f>SUM(V110:V114)</f>
        <v>313192.28054</v>
      </c>
      <c r="W108" s="150">
        <f t="shared" si="131"/>
        <v>10.589264869501507</v>
      </c>
      <c r="X108" s="149">
        <f>SUM(X110:X114)</f>
        <v>467866</v>
      </c>
      <c r="Y108" s="150">
        <f t="shared" si="132"/>
        <v>16.242257301960702</v>
      </c>
      <c r="Z108" s="149">
        <f>SUM(Z110:Z114)</f>
        <v>627486</v>
      </c>
      <c r="AA108" s="150">
        <f t="shared" si="133"/>
        <v>21.783564237149342</v>
      </c>
      <c r="AB108" s="149">
        <f>SUM(AB110:AB114)</f>
        <v>958072.5</v>
      </c>
      <c r="AC108" s="150">
        <f t="shared" si="134"/>
        <v>33.26007886645481</v>
      </c>
      <c r="AD108" s="149">
        <f>SUM(AD110:AD114)</f>
        <v>1225854.5</v>
      </c>
      <c r="AE108" s="151">
        <f t="shared" si="135"/>
        <v>43.3938217187707</v>
      </c>
      <c r="AF108" s="149">
        <f>SUM(AF110:AF114)</f>
        <v>1379050.4</v>
      </c>
      <c r="AG108" s="150">
        <f t="shared" si="136"/>
        <v>0</v>
      </c>
      <c r="AH108" s="149">
        <f>SUM(AH110:AH114)</f>
        <v>1578067.6</v>
      </c>
      <c r="AI108" s="150">
        <f t="shared" si="137"/>
        <v>55.86175528545056</v>
      </c>
      <c r="AJ108" s="149">
        <f>SUM(AJ110:AJ114)</f>
        <v>1791971.2</v>
      </c>
      <c r="AK108" s="150">
        <f t="shared" si="138"/>
        <v>63.43369362185447</v>
      </c>
      <c r="AL108" s="149">
        <f>SUM(AL110:AL114)</f>
        <v>2028776.585</v>
      </c>
      <c r="AM108" s="150">
        <f t="shared" si="139"/>
        <v>69.25408904407671</v>
      </c>
      <c r="AN108" s="152">
        <f>SUM(AN110:AN114)</f>
        <v>2290211.985</v>
      </c>
      <c r="AO108" s="153">
        <f>AN108/I108*100</f>
        <v>81.07083717952005</v>
      </c>
      <c r="AP108" s="150">
        <f t="shared" si="140"/>
        <v>78.17841841811362</v>
      </c>
      <c r="AQ108" s="152">
        <f>SUM(AQ110:AQ114)</f>
        <v>2747069.6</v>
      </c>
      <c r="AR108" s="154">
        <f>AQ108/I108*100</f>
        <v>97.24306471237391</v>
      </c>
      <c r="AS108" s="189">
        <f t="shared" si="141"/>
        <v>93.77365851680321</v>
      </c>
      <c r="AT108" s="190">
        <f>SUM(AT110:AT114)</f>
        <v>2794094</v>
      </c>
      <c r="AU108" s="129">
        <f>AT108*100/I108</f>
        <v>98.90767370963431</v>
      </c>
      <c r="AV108" s="298" t="s">
        <v>136</v>
      </c>
      <c r="AW108" s="191">
        <f>SUM(AW110:AW114)</f>
        <v>186731.40000000002</v>
      </c>
      <c r="AX108" s="191">
        <f>SUM(AX110:AX114)</f>
        <v>199481.00000000003</v>
      </c>
      <c r="AY108" s="134">
        <f t="shared" si="142"/>
        <v>106.82777508228398</v>
      </c>
      <c r="AZ108" s="204"/>
      <c r="BA108" s="103"/>
    </row>
    <row r="109" spans="1:53" s="102" customFormat="1" ht="25.5">
      <c r="A109" s="256"/>
      <c r="B109" s="256"/>
      <c r="C109" s="256"/>
      <c r="D109" s="256"/>
      <c r="E109" s="256"/>
      <c r="F109" s="136" t="s">
        <v>29</v>
      </c>
      <c r="G109" s="137"/>
      <c r="H109" s="137"/>
      <c r="I109" s="137"/>
      <c r="J109" s="137"/>
      <c r="K109" s="137"/>
      <c r="L109" s="137"/>
      <c r="M109" s="137"/>
      <c r="N109" s="137"/>
      <c r="O109" s="137"/>
      <c r="P109" s="137"/>
      <c r="Q109" s="137"/>
      <c r="R109" s="137"/>
      <c r="S109" s="139"/>
      <c r="T109" s="137"/>
      <c r="U109" s="137"/>
      <c r="V109" s="137"/>
      <c r="W109" s="137"/>
      <c r="X109" s="137"/>
      <c r="Y109" s="137"/>
      <c r="Z109" s="137"/>
      <c r="AA109" s="137"/>
      <c r="AB109" s="137"/>
      <c r="AC109" s="137"/>
      <c r="AD109" s="137"/>
      <c r="AE109" s="138"/>
      <c r="AF109" s="137"/>
      <c r="AG109" s="137"/>
      <c r="AH109" s="137"/>
      <c r="AI109" s="137"/>
      <c r="AJ109" s="137"/>
      <c r="AK109" s="137"/>
      <c r="AL109" s="137"/>
      <c r="AM109" s="137"/>
      <c r="AN109" s="139"/>
      <c r="AO109" s="138"/>
      <c r="AP109" s="137"/>
      <c r="AQ109" s="139"/>
      <c r="AR109" s="140"/>
      <c r="AS109" s="139"/>
      <c r="AT109" s="142"/>
      <c r="AU109" s="143"/>
      <c r="AV109" s="101"/>
      <c r="AW109" s="194"/>
      <c r="AX109" s="142"/>
      <c r="AY109" s="193"/>
      <c r="AZ109" s="101"/>
      <c r="BA109" s="103"/>
    </row>
    <row r="110" spans="1:53" s="102" customFormat="1" ht="38.25">
      <c r="A110" s="256"/>
      <c r="B110" s="256"/>
      <c r="C110" s="256"/>
      <c r="D110" s="256"/>
      <c r="E110" s="256"/>
      <c r="F110" s="144" t="s">
        <v>27</v>
      </c>
      <c r="G110" s="179">
        <v>0</v>
      </c>
      <c r="H110" s="134">
        <v>0</v>
      </c>
      <c r="I110" s="180">
        <v>0</v>
      </c>
      <c r="J110" s="180">
        <v>0</v>
      </c>
      <c r="K110" s="180">
        <v>0</v>
      </c>
      <c r="L110" s="197">
        <v>0</v>
      </c>
      <c r="M110" s="197">
        <v>0</v>
      </c>
      <c r="N110" s="197">
        <v>0</v>
      </c>
      <c r="O110" s="180">
        <f>N110</f>
        <v>0</v>
      </c>
      <c r="P110" s="197">
        <v>0</v>
      </c>
      <c r="Q110" s="197">
        <v>0</v>
      </c>
      <c r="R110" s="197">
        <v>0</v>
      </c>
      <c r="S110" s="198">
        <v>0</v>
      </c>
      <c r="T110" s="197">
        <v>0</v>
      </c>
      <c r="U110" s="167">
        <v>0</v>
      </c>
      <c r="V110" s="197">
        <v>0</v>
      </c>
      <c r="W110" s="167">
        <f aca="true" t="shared" si="144" ref="W110:W115">IF(H110=0,0,V110*100/H110)</f>
        <v>0</v>
      </c>
      <c r="X110" s="197">
        <v>0</v>
      </c>
      <c r="Y110" s="167">
        <f aca="true" t="shared" si="145" ref="Y110:Y115">IF(J110=0,0,X110*100/J110)</f>
        <v>0</v>
      </c>
      <c r="Z110" s="197">
        <v>0</v>
      </c>
      <c r="AA110" s="167">
        <f aca="true" t="shared" si="146" ref="AA110:AA115">IF(K110=0,0,Z110*100/K110)</f>
        <v>0</v>
      </c>
      <c r="AB110" s="197">
        <v>0</v>
      </c>
      <c r="AC110" s="167">
        <f aca="true" t="shared" si="147" ref="AC110:AC115">IF(L110=0,0,AB110*100/L110)</f>
        <v>0</v>
      </c>
      <c r="AD110" s="197">
        <v>0</v>
      </c>
      <c r="AE110" s="167">
        <f aca="true" t="shared" si="148" ref="AE110:AE115">IF(O110=0,0,AD110*100/O110)</f>
        <v>0</v>
      </c>
      <c r="AF110" s="197">
        <v>0</v>
      </c>
      <c r="AG110" s="167">
        <f aca="true" t="shared" si="149" ref="AG110:AG115">IF(N110=0,0,AF110*100/N110)</f>
        <v>0</v>
      </c>
      <c r="AH110" s="197">
        <v>0</v>
      </c>
      <c r="AI110" s="167">
        <f aca="true" t="shared" si="150" ref="AI110:AI115">IF(O110=0,0,AH110*100/O110)</f>
        <v>0</v>
      </c>
      <c r="AJ110" s="197">
        <v>0</v>
      </c>
      <c r="AK110" s="167">
        <f aca="true" t="shared" si="151" ref="AK110:AK115">IF(P110=0,0,AJ110*100/P110)</f>
        <v>0</v>
      </c>
      <c r="AL110" s="197">
        <v>0</v>
      </c>
      <c r="AM110" s="134">
        <f aca="true" t="shared" si="152" ref="AM110:AM115">IF(Q110=0,0,AL110*100/Q110)</f>
        <v>0</v>
      </c>
      <c r="AN110" s="198">
        <v>0</v>
      </c>
      <c r="AO110" s="153">
        <v>0</v>
      </c>
      <c r="AP110" s="134">
        <f aca="true" t="shared" si="153" ref="AP110:AP115">IF(R110=0,0,AN110*100/R110)</f>
        <v>0</v>
      </c>
      <c r="AQ110" s="198">
        <v>0</v>
      </c>
      <c r="AR110" s="154">
        <v>0</v>
      </c>
      <c r="AS110" s="243">
        <f aca="true" t="shared" si="154" ref="AS110:AS115">IF(S110=0,0,AQ110*100/S110)</f>
        <v>0</v>
      </c>
      <c r="AT110" s="197">
        <v>0</v>
      </c>
      <c r="AU110" s="292">
        <v>0</v>
      </c>
      <c r="AV110" s="101"/>
      <c r="AW110" s="180">
        <v>0</v>
      </c>
      <c r="AX110" s="180">
        <v>0</v>
      </c>
      <c r="AY110" s="167">
        <f>IF(AW110=0,0,AX110*100/AW110)</f>
        <v>0</v>
      </c>
      <c r="AZ110" s="101"/>
      <c r="BA110" s="103"/>
    </row>
    <row r="111" spans="1:53" s="102" customFormat="1" ht="51">
      <c r="A111" s="256"/>
      <c r="B111" s="256"/>
      <c r="C111" s="256"/>
      <c r="D111" s="256"/>
      <c r="E111" s="256"/>
      <c r="F111" s="145" t="s">
        <v>3</v>
      </c>
      <c r="G111" s="223">
        <v>2743438.5</v>
      </c>
      <c r="H111" s="153">
        <v>2743438.5</v>
      </c>
      <c r="I111" s="180">
        <v>2638921.9</v>
      </c>
      <c r="J111" s="180">
        <v>2638921.9</v>
      </c>
      <c r="K111" s="180">
        <v>2638921.9</v>
      </c>
      <c r="L111" s="180">
        <v>2638921.9</v>
      </c>
      <c r="M111" s="180">
        <v>2638921.9</v>
      </c>
      <c r="N111" s="180">
        <v>2638921.9</v>
      </c>
      <c r="O111" s="180">
        <v>2638921.9</v>
      </c>
      <c r="P111" s="180">
        <v>2638921.9</v>
      </c>
      <c r="Q111" s="180">
        <v>2638921.9</v>
      </c>
      <c r="R111" s="180">
        <v>2638921.9</v>
      </c>
      <c r="S111" s="200">
        <v>2743438.5</v>
      </c>
      <c r="T111" s="165">
        <v>54517.6</v>
      </c>
      <c r="U111" s="167">
        <f>SUM(T111/G111*100)</f>
        <v>1.9871996401596026</v>
      </c>
      <c r="V111" s="165">
        <v>313192.28054</v>
      </c>
      <c r="W111" s="167">
        <f t="shared" si="144"/>
        <v>11.416048894115907</v>
      </c>
      <c r="X111" s="165">
        <v>467866</v>
      </c>
      <c r="Y111" s="167">
        <f t="shared" si="145"/>
        <v>17.729437161440813</v>
      </c>
      <c r="Z111" s="165">
        <v>627486</v>
      </c>
      <c r="AA111" s="167">
        <f t="shared" si="146"/>
        <v>23.77811939034649</v>
      </c>
      <c r="AB111" s="165">
        <v>958072.5</v>
      </c>
      <c r="AC111" s="167">
        <f t="shared" si="147"/>
        <v>36.305451101072755</v>
      </c>
      <c r="AD111" s="165">
        <v>1195850.2</v>
      </c>
      <c r="AE111" s="167">
        <f t="shared" si="148"/>
        <v>45.31586175399886</v>
      </c>
      <c r="AF111" s="165">
        <v>1316649.7</v>
      </c>
      <c r="AG111" s="167">
        <f t="shared" si="149"/>
        <v>49.89346975368995</v>
      </c>
      <c r="AH111" s="165">
        <v>1512385.6</v>
      </c>
      <c r="AI111" s="167">
        <f t="shared" si="150"/>
        <v>57.31073738862829</v>
      </c>
      <c r="AJ111" s="165">
        <v>1725372.2</v>
      </c>
      <c r="AK111" s="167">
        <f t="shared" si="151"/>
        <v>65.38170758293377</v>
      </c>
      <c r="AL111" s="165">
        <v>1951335.2</v>
      </c>
      <c r="AM111" s="134">
        <f t="shared" si="152"/>
        <v>73.94440888909975</v>
      </c>
      <c r="AN111" s="166">
        <v>2122305</v>
      </c>
      <c r="AO111" s="153">
        <f>AN111/I111*100</f>
        <v>80.4231834219876</v>
      </c>
      <c r="AP111" s="134">
        <f t="shared" si="153"/>
        <v>80.4231834219876</v>
      </c>
      <c r="AQ111" s="166">
        <v>2564997.9</v>
      </c>
      <c r="AR111" s="154">
        <f>AQ111/I111*100</f>
        <v>97.19870451641634</v>
      </c>
      <c r="AS111" s="243">
        <f t="shared" si="154"/>
        <v>93.49573172498673</v>
      </c>
      <c r="AT111" s="165">
        <v>2625007.2</v>
      </c>
      <c r="AU111" s="129">
        <f>AT111*100/I111</f>
        <v>99.47271270134976</v>
      </c>
      <c r="AV111" s="101"/>
      <c r="AW111" s="130">
        <v>94850.6</v>
      </c>
      <c r="AX111" s="130">
        <v>94850.6</v>
      </c>
      <c r="AY111" s="167">
        <f>IF(AW111=0,0,AX111*100/AW111)</f>
        <v>100</v>
      </c>
      <c r="AZ111" s="101"/>
      <c r="BA111" s="103"/>
    </row>
    <row r="112" spans="1:53" s="102" customFormat="1" ht="63.75">
      <c r="A112" s="256"/>
      <c r="B112" s="256"/>
      <c r="C112" s="256"/>
      <c r="D112" s="256"/>
      <c r="E112" s="256"/>
      <c r="F112" s="145" t="s">
        <v>38</v>
      </c>
      <c r="G112" s="179">
        <v>5556</v>
      </c>
      <c r="H112" s="153">
        <v>5799</v>
      </c>
      <c r="I112" s="130">
        <v>5723.99</v>
      </c>
      <c r="J112" s="130">
        <v>5723.99</v>
      </c>
      <c r="K112" s="130">
        <v>5723.99</v>
      </c>
      <c r="L112" s="130">
        <v>5723.99</v>
      </c>
      <c r="M112" s="130">
        <v>5723.99</v>
      </c>
      <c r="N112" s="130">
        <v>5723.99</v>
      </c>
      <c r="O112" s="130">
        <v>5723.99</v>
      </c>
      <c r="P112" s="130">
        <v>5723.99</v>
      </c>
      <c r="Q112" s="130">
        <v>5723.99</v>
      </c>
      <c r="R112" s="130">
        <v>5723.99</v>
      </c>
      <c r="S112" s="224">
        <v>5723.99</v>
      </c>
      <c r="T112" s="165">
        <v>0</v>
      </c>
      <c r="U112" s="167">
        <f>SUM(T112/G112*100)</f>
        <v>0</v>
      </c>
      <c r="V112" s="165">
        <v>0</v>
      </c>
      <c r="W112" s="167">
        <f t="shared" si="144"/>
        <v>0</v>
      </c>
      <c r="X112" s="165">
        <v>0</v>
      </c>
      <c r="Y112" s="167">
        <f t="shared" si="145"/>
        <v>0</v>
      </c>
      <c r="Z112" s="165">
        <v>0</v>
      </c>
      <c r="AA112" s="167">
        <f t="shared" si="146"/>
        <v>0</v>
      </c>
      <c r="AB112" s="165">
        <v>0</v>
      </c>
      <c r="AC112" s="167">
        <f t="shared" si="147"/>
        <v>0</v>
      </c>
      <c r="AD112" s="165">
        <v>1934.5</v>
      </c>
      <c r="AE112" s="167">
        <f t="shared" si="148"/>
        <v>33.79635533954462</v>
      </c>
      <c r="AF112" s="165">
        <v>60.5</v>
      </c>
      <c r="AG112" s="167">
        <f t="shared" si="149"/>
        <v>1.05695502612688</v>
      </c>
      <c r="AH112" s="165">
        <v>3341.8</v>
      </c>
      <c r="AI112" s="167">
        <f t="shared" si="150"/>
        <v>58.38235217042658</v>
      </c>
      <c r="AJ112" s="165">
        <v>3341.8</v>
      </c>
      <c r="AK112" s="167">
        <f t="shared" si="151"/>
        <v>58.38235217042658</v>
      </c>
      <c r="AL112" s="165">
        <v>3469.085</v>
      </c>
      <c r="AM112" s="134">
        <f t="shared" si="152"/>
        <v>60.60606325308046</v>
      </c>
      <c r="AN112" s="166">
        <v>3469.085</v>
      </c>
      <c r="AO112" s="153">
        <f>AN112/I112*100</f>
        <v>60.60606325308046</v>
      </c>
      <c r="AP112" s="134">
        <f t="shared" si="153"/>
        <v>60.60606325308046</v>
      </c>
      <c r="AQ112" s="166">
        <v>5645.2</v>
      </c>
      <c r="AR112" s="154">
        <f>AQ112/I112*100</f>
        <v>98.62351261969361</v>
      </c>
      <c r="AS112" s="243">
        <f t="shared" si="154"/>
        <v>98.62351261969361</v>
      </c>
      <c r="AT112" s="165">
        <v>5701.7</v>
      </c>
      <c r="AU112" s="129">
        <f>AT112*100/I112</f>
        <v>99.61058632177904</v>
      </c>
      <c r="AV112" s="101"/>
      <c r="AW112" s="130">
        <v>2176.1</v>
      </c>
      <c r="AX112" s="130">
        <v>2176.1</v>
      </c>
      <c r="AY112" s="167">
        <v>100</v>
      </c>
      <c r="AZ112" s="101"/>
      <c r="BA112" s="103"/>
    </row>
    <row r="113" spans="1:53" s="102" customFormat="1" ht="51">
      <c r="A113" s="256"/>
      <c r="B113" s="256"/>
      <c r="C113" s="256"/>
      <c r="D113" s="256"/>
      <c r="E113" s="256"/>
      <c r="F113" s="145" t="s">
        <v>23</v>
      </c>
      <c r="G113" s="179">
        <v>208402</v>
      </c>
      <c r="H113" s="153">
        <v>208402</v>
      </c>
      <c r="I113" s="180">
        <v>152805.8</v>
      </c>
      <c r="J113" s="180">
        <v>208402</v>
      </c>
      <c r="K113" s="180">
        <v>208402</v>
      </c>
      <c r="L113" s="180">
        <v>208402</v>
      </c>
      <c r="M113" s="180">
        <v>152805.8</v>
      </c>
      <c r="N113" s="165">
        <f>M113</f>
        <v>152805.8</v>
      </c>
      <c r="O113" s="130">
        <f>N113</f>
        <v>152805.8</v>
      </c>
      <c r="P113" s="165">
        <v>152805.8</v>
      </c>
      <c r="Q113" s="165">
        <v>152805.8</v>
      </c>
      <c r="R113" s="165">
        <v>152805.8</v>
      </c>
      <c r="S113" s="166">
        <v>152805.8</v>
      </c>
      <c r="T113" s="165">
        <v>0</v>
      </c>
      <c r="U113" s="167">
        <f>SUM(T113/G113*100)</f>
        <v>0</v>
      </c>
      <c r="V113" s="165">
        <v>0</v>
      </c>
      <c r="W113" s="167">
        <f t="shared" si="144"/>
        <v>0</v>
      </c>
      <c r="X113" s="165">
        <v>0</v>
      </c>
      <c r="Y113" s="167">
        <f t="shared" si="145"/>
        <v>0</v>
      </c>
      <c r="Z113" s="165">
        <v>0</v>
      </c>
      <c r="AA113" s="167">
        <f t="shared" si="146"/>
        <v>0</v>
      </c>
      <c r="AB113" s="165">
        <v>0</v>
      </c>
      <c r="AC113" s="167">
        <f t="shared" si="147"/>
        <v>0</v>
      </c>
      <c r="AD113" s="165">
        <v>28069.8</v>
      </c>
      <c r="AE113" s="167">
        <f t="shared" si="148"/>
        <v>18.36959068307617</v>
      </c>
      <c r="AF113" s="165">
        <v>62340.2</v>
      </c>
      <c r="AG113" s="167">
        <f t="shared" si="149"/>
        <v>40.797011631757435</v>
      </c>
      <c r="AH113" s="165">
        <v>62340.2</v>
      </c>
      <c r="AI113" s="167">
        <f t="shared" si="150"/>
        <v>40.797011631757435</v>
      </c>
      <c r="AJ113" s="165">
        <v>62340.2</v>
      </c>
      <c r="AK113" s="167">
        <f t="shared" si="151"/>
        <v>40.797011631757435</v>
      </c>
      <c r="AL113" s="165">
        <v>62340.2</v>
      </c>
      <c r="AM113" s="153">
        <f t="shared" si="152"/>
        <v>40.797011631757435</v>
      </c>
      <c r="AN113" s="166">
        <v>152805.8</v>
      </c>
      <c r="AO113" s="153">
        <f>AN113/I113*100</f>
        <v>100</v>
      </c>
      <c r="AP113" s="134">
        <f t="shared" si="153"/>
        <v>100</v>
      </c>
      <c r="AQ113" s="166">
        <v>152044.9</v>
      </c>
      <c r="AR113" s="154">
        <f>AQ113/I113*100</f>
        <v>99.50204769714239</v>
      </c>
      <c r="AS113" s="243">
        <f t="shared" si="154"/>
        <v>99.50204769714239</v>
      </c>
      <c r="AT113" s="165">
        <v>138529.3</v>
      </c>
      <c r="AU113" s="129">
        <f>AT113*100/I113</f>
        <v>90.65709547674237</v>
      </c>
      <c r="AV113" s="101"/>
      <c r="AW113" s="130">
        <v>89704.7</v>
      </c>
      <c r="AX113" s="225">
        <v>89704.7</v>
      </c>
      <c r="AY113" s="167">
        <v>100</v>
      </c>
      <c r="AZ113" s="101"/>
      <c r="BA113" s="103"/>
    </row>
    <row r="114" spans="1:53" s="102" customFormat="1" ht="38.25">
      <c r="A114" s="256"/>
      <c r="B114" s="256"/>
      <c r="C114" s="256"/>
      <c r="D114" s="256"/>
      <c r="E114" s="256"/>
      <c r="F114" s="226" t="s">
        <v>44</v>
      </c>
      <c r="G114" s="191">
        <v>0</v>
      </c>
      <c r="H114" s="150">
        <v>0</v>
      </c>
      <c r="I114" s="130">
        <v>27500</v>
      </c>
      <c r="J114" s="130">
        <v>27500</v>
      </c>
      <c r="K114" s="130">
        <v>27500</v>
      </c>
      <c r="L114" s="130">
        <v>27500</v>
      </c>
      <c r="M114" s="130">
        <v>27500</v>
      </c>
      <c r="N114" s="130">
        <v>27500</v>
      </c>
      <c r="O114" s="130">
        <v>27500</v>
      </c>
      <c r="P114" s="227">
        <v>27500</v>
      </c>
      <c r="Q114" s="227">
        <v>27500</v>
      </c>
      <c r="R114" s="227">
        <v>27500</v>
      </c>
      <c r="S114" s="229">
        <v>27500</v>
      </c>
      <c r="T114" s="227">
        <v>0</v>
      </c>
      <c r="U114" s="228">
        <v>0</v>
      </c>
      <c r="V114" s="227">
        <v>0</v>
      </c>
      <c r="W114" s="228">
        <f t="shared" si="144"/>
        <v>0</v>
      </c>
      <c r="X114" s="227">
        <v>0</v>
      </c>
      <c r="Y114" s="228">
        <f t="shared" si="145"/>
        <v>0</v>
      </c>
      <c r="Z114" s="227">
        <v>0</v>
      </c>
      <c r="AA114" s="228">
        <f t="shared" si="146"/>
        <v>0</v>
      </c>
      <c r="AB114" s="227">
        <v>0</v>
      </c>
      <c r="AC114" s="228">
        <f t="shared" si="147"/>
        <v>0</v>
      </c>
      <c r="AD114" s="227">
        <v>0</v>
      </c>
      <c r="AE114" s="167">
        <f t="shared" si="148"/>
        <v>0</v>
      </c>
      <c r="AF114" s="227">
        <v>0</v>
      </c>
      <c r="AG114" s="228">
        <f t="shared" si="149"/>
        <v>0</v>
      </c>
      <c r="AH114" s="227">
        <v>0</v>
      </c>
      <c r="AI114" s="228">
        <f t="shared" si="150"/>
        <v>0</v>
      </c>
      <c r="AJ114" s="227">
        <v>917</v>
      </c>
      <c r="AK114" s="228">
        <f t="shared" si="151"/>
        <v>3.3345454545454545</v>
      </c>
      <c r="AL114" s="227">
        <v>11632.1</v>
      </c>
      <c r="AM114" s="151">
        <f t="shared" si="152"/>
        <v>42.298545454545454</v>
      </c>
      <c r="AN114" s="229">
        <v>11632.1</v>
      </c>
      <c r="AO114" s="153">
        <f>AN114/I114*100</f>
        <v>42.298545454545454</v>
      </c>
      <c r="AP114" s="151">
        <f t="shared" si="153"/>
        <v>42.298545454545454</v>
      </c>
      <c r="AQ114" s="229">
        <v>24381.6</v>
      </c>
      <c r="AR114" s="154">
        <f>AQ114/I114*100</f>
        <v>88.66036363636363</v>
      </c>
      <c r="AS114" s="244">
        <f t="shared" si="154"/>
        <v>88.66036363636364</v>
      </c>
      <c r="AT114" s="227">
        <v>24855.8</v>
      </c>
      <c r="AU114" s="129">
        <f>AT114*100/I114</f>
        <v>90.38472727272728</v>
      </c>
      <c r="AV114" s="101"/>
      <c r="AW114" s="130">
        <v>0</v>
      </c>
      <c r="AX114" s="130">
        <v>12749.6</v>
      </c>
      <c r="AY114" s="167">
        <f>IF(AW114=0,0,AX114*100/AW114)</f>
        <v>0</v>
      </c>
      <c r="AZ114" s="101"/>
      <c r="BA114" s="103"/>
    </row>
    <row r="115" spans="1:53" s="102" customFormat="1" ht="409.5">
      <c r="A115" s="124" t="s">
        <v>92</v>
      </c>
      <c r="B115" s="124">
        <v>15</v>
      </c>
      <c r="C115" s="212" t="s">
        <v>70</v>
      </c>
      <c r="D115" s="109" t="s">
        <v>203</v>
      </c>
      <c r="E115" s="230" t="s">
        <v>95</v>
      </c>
      <c r="F115" s="128" t="s">
        <v>26</v>
      </c>
      <c r="G115" s="149">
        <f aca="true" t="shared" si="155" ref="G115:T115">SUM(G117:G121)</f>
        <v>24645032.2</v>
      </c>
      <c r="H115" s="149">
        <f t="shared" si="155"/>
        <v>24645032.2</v>
      </c>
      <c r="I115" s="149">
        <f t="shared" si="155"/>
        <v>13478516.9</v>
      </c>
      <c r="J115" s="149">
        <f t="shared" si="155"/>
        <v>24644450.4</v>
      </c>
      <c r="K115" s="149">
        <f t="shared" si="155"/>
        <v>24644450.4</v>
      </c>
      <c r="L115" s="149">
        <f t="shared" si="155"/>
        <v>24385458.4</v>
      </c>
      <c r="M115" s="149">
        <f t="shared" si="155"/>
        <v>24385458.4</v>
      </c>
      <c r="N115" s="149">
        <f t="shared" si="155"/>
        <v>24385458.4</v>
      </c>
      <c r="O115" s="149">
        <f t="shared" si="155"/>
        <v>24385458.4</v>
      </c>
      <c r="P115" s="149">
        <f t="shared" si="155"/>
        <v>24665249.9</v>
      </c>
      <c r="Q115" s="149">
        <f t="shared" si="155"/>
        <v>25338873.9</v>
      </c>
      <c r="R115" s="149">
        <f t="shared" si="155"/>
        <v>25338873.9</v>
      </c>
      <c r="S115" s="152">
        <f t="shared" si="155"/>
        <v>13478516.9</v>
      </c>
      <c r="T115" s="149">
        <f t="shared" si="155"/>
        <v>56471.9</v>
      </c>
      <c r="U115" s="150">
        <f>SUM(T115/G115*100)</f>
        <v>0.2291411086084927</v>
      </c>
      <c r="V115" s="149">
        <f>SUM(V117:V121)</f>
        <v>412809.6</v>
      </c>
      <c r="W115" s="150">
        <f t="shared" si="144"/>
        <v>1.6750215485618234</v>
      </c>
      <c r="X115" s="149">
        <f>SUM(X117:X121)</f>
        <v>450738.1</v>
      </c>
      <c r="Y115" s="150">
        <f t="shared" si="145"/>
        <v>1.8289638952548928</v>
      </c>
      <c r="Z115" s="149">
        <f>SUM(Z117:Z121)</f>
        <v>2330267.85425</v>
      </c>
      <c r="AA115" s="150">
        <f t="shared" si="146"/>
        <v>9.455548070368005</v>
      </c>
      <c r="AB115" s="149">
        <f>SUM(AB117:AB121)</f>
        <v>2298463.7</v>
      </c>
      <c r="AC115" s="150">
        <f t="shared" si="147"/>
        <v>9.425550515794283</v>
      </c>
      <c r="AD115" s="149">
        <f>SUM(AD117:AD121)</f>
        <v>2333692.0999999996</v>
      </c>
      <c r="AE115" s="151">
        <f t="shared" si="148"/>
        <v>9.570015300594061</v>
      </c>
      <c r="AF115" s="149">
        <f>SUM(AF117:AF121)</f>
        <v>4943307.9</v>
      </c>
      <c r="AG115" s="150">
        <f t="shared" si="149"/>
        <v>20.27153977962539</v>
      </c>
      <c r="AH115" s="149">
        <f>SUM(AH117:AH121)</f>
        <v>5251009.8</v>
      </c>
      <c r="AI115" s="150">
        <f t="shared" si="150"/>
        <v>21.533365146828654</v>
      </c>
      <c r="AJ115" s="149">
        <f>SUM(AJ117:AJ121)</f>
        <v>5321193.3</v>
      </c>
      <c r="AK115" s="150">
        <f t="shared" si="151"/>
        <v>21.57364438460443</v>
      </c>
      <c r="AL115" s="149">
        <f>SUM(AL117:AL121)</f>
        <v>8394090.700000001</v>
      </c>
      <c r="AM115" s="150">
        <f t="shared" si="152"/>
        <v>33.12732338906348</v>
      </c>
      <c r="AN115" s="152">
        <f>SUM(AN117:AN121)</f>
        <v>12578512.7</v>
      </c>
      <c r="AO115" s="153">
        <f>AN115/I115*100</f>
        <v>93.3226763250191</v>
      </c>
      <c r="AP115" s="150">
        <f t="shared" si="153"/>
        <v>49.64116696598739</v>
      </c>
      <c r="AQ115" s="152">
        <f>SUM(AQ117:AQ121)</f>
        <v>13954883.2</v>
      </c>
      <c r="AR115" s="154">
        <f>AQ115/I115*100</f>
        <v>103.53426347671825</v>
      </c>
      <c r="AS115" s="189">
        <f t="shared" si="154"/>
        <v>103.53426347671827</v>
      </c>
      <c r="AT115" s="190">
        <f>SUM(AT117:AT121)</f>
        <v>25320688.6</v>
      </c>
      <c r="AU115" s="129">
        <f>AT115*100/I115</f>
        <v>187.85960493917545</v>
      </c>
      <c r="AV115" s="213" t="s">
        <v>137</v>
      </c>
      <c r="AW115" s="191">
        <f>SUM(AW117:AW121)</f>
        <v>3671448.05542</v>
      </c>
      <c r="AX115" s="191">
        <f>SUM(AX117:AX121)</f>
        <v>4155059.05542</v>
      </c>
      <c r="AY115" s="134">
        <f>IF(AW115=0,0,AX115*100/AW115)</f>
        <v>113.17221414275672</v>
      </c>
      <c r="AZ115" s="131"/>
      <c r="BA115" s="103"/>
    </row>
    <row r="116" spans="1:53" s="102" customFormat="1" ht="25.5">
      <c r="A116" s="256"/>
      <c r="B116" s="256"/>
      <c r="C116" s="256"/>
      <c r="D116" s="256"/>
      <c r="E116" s="256"/>
      <c r="F116" s="136" t="s">
        <v>29</v>
      </c>
      <c r="G116" s="137"/>
      <c r="H116" s="137"/>
      <c r="I116" s="137"/>
      <c r="J116" s="137"/>
      <c r="K116" s="137"/>
      <c r="L116" s="137"/>
      <c r="M116" s="137"/>
      <c r="N116" s="137"/>
      <c r="O116" s="137"/>
      <c r="P116" s="137"/>
      <c r="Q116" s="137"/>
      <c r="R116" s="137"/>
      <c r="S116" s="139"/>
      <c r="T116" s="137"/>
      <c r="U116" s="137"/>
      <c r="V116" s="137"/>
      <c r="W116" s="137"/>
      <c r="X116" s="137"/>
      <c r="Y116" s="137"/>
      <c r="Z116" s="137"/>
      <c r="AA116" s="137"/>
      <c r="AB116" s="137"/>
      <c r="AC116" s="137"/>
      <c r="AD116" s="137"/>
      <c r="AE116" s="138"/>
      <c r="AF116" s="137"/>
      <c r="AG116" s="137"/>
      <c r="AH116" s="137"/>
      <c r="AI116" s="137"/>
      <c r="AJ116" s="137"/>
      <c r="AK116" s="137"/>
      <c r="AL116" s="137"/>
      <c r="AM116" s="137"/>
      <c r="AN116" s="139"/>
      <c r="AO116" s="138"/>
      <c r="AP116" s="137"/>
      <c r="AQ116" s="139"/>
      <c r="AR116" s="140"/>
      <c r="AS116" s="139"/>
      <c r="AT116" s="142"/>
      <c r="AU116" s="143"/>
      <c r="AV116" s="101"/>
      <c r="AW116" s="194"/>
      <c r="AX116" s="142"/>
      <c r="AY116" s="193"/>
      <c r="AZ116" s="101"/>
      <c r="BA116" s="103"/>
    </row>
    <row r="117" spans="1:53" s="102" customFormat="1" ht="38.25">
      <c r="A117" s="256"/>
      <c r="B117" s="256"/>
      <c r="C117" s="256"/>
      <c r="D117" s="256"/>
      <c r="E117" s="256"/>
      <c r="F117" s="144" t="s">
        <v>27</v>
      </c>
      <c r="G117" s="179">
        <v>11636.1</v>
      </c>
      <c r="H117" s="179">
        <v>11636.1</v>
      </c>
      <c r="I117" s="180">
        <v>48858.8</v>
      </c>
      <c r="J117" s="180">
        <v>11054.3</v>
      </c>
      <c r="K117" s="180">
        <v>11054.3</v>
      </c>
      <c r="L117" s="180">
        <v>11054.3</v>
      </c>
      <c r="M117" s="180">
        <v>11054.3</v>
      </c>
      <c r="N117" s="180">
        <v>11054.3</v>
      </c>
      <c r="O117" s="180">
        <f>N117</f>
        <v>11054.3</v>
      </c>
      <c r="P117" s="180">
        <v>48858.8</v>
      </c>
      <c r="Q117" s="180">
        <v>48858.8</v>
      </c>
      <c r="R117" s="180">
        <v>48858.8</v>
      </c>
      <c r="S117" s="200">
        <v>48858.8</v>
      </c>
      <c r="T117" s="180">
        <v>48858.8</v>
      </c>
      <c r="U117" s="180">
        <v>48858.8</v>
      </c>
      <c r="V117" s="180">
        <v>48858.8</v>
      </c>
      <c r="W117" s="180">
        <v>48858.8</v>
      </c>
      <c r="X117" s="180">
        <v>48858.8</v>
      </c>
      <c r="Y117" s="180">
        <v>48858.8</v>
      </c>
      <c r="Z117" s="180">
        <v>48858.8</v>
      </c>
      <c r="AA117" s="180">
        <v>48858.8</v>
      </c>
      <c r="AB117" s="180">
        <v>48858.8</v>
      </c>
      <c r="AC117" s="180">
        <v>48858.8</v>
      </c>
      <c r="AD117" s="180">
        <v>48858.8</v>
      </c>
      <c r="AE117" s="180">
        <v>48858.8</v>
      </c>
      <c r="AF117" s="180">
        <v>48858.8</v>
      </c>
      <c r="AG117" s="180">
        <v>48858.8</v>
      </c>
      <c r="AH117" s="180">
        <v>48858.8</v>
      </c>
      <c r="AI117" s="180">
        <v>48858.8</v>
      </c>
      <c r="AJ117" s="164">
        <v>22287.7</v>
      </c>
      <c r="AK117" s="167">
        <f aca="true" t="shared" si="156" ref="AK117:AK122">IF(P117=0,0,AJ117*100/P117)</f>
        <v>45.6165521871188</v>
      </c>
      <c r="AL117" s="197">
        <v>26687.6</v>
      </c>
      <c r="AM117" s="134">
        <f aca="true" t="shared" si="157" ref="AM117:AM122">IF(Q117=0,0,AL117*100/Q117)</f>
        <v>54.62189001776547</v>
      </c>
      <c r="AN117" s="198">
        <v>28697.1</v>
      </c>
      <c r="AO117" s="153">
        <f aca="true" t="shared" si="158" ref="AO117:AO122">AN117/I117*100</f>
        <v>58.734762212743654</v>
      </c>
      <c r="AP117" s="134">
        <f aca="true" t="shared" si="159" ref="AP117:AP122">IF(R117=0,0,AN117*100/R117)</f>
        <v>58.73476221274366</v>
      </c>
      <c r="AQ117" s="198">
        <v>43285.3</v>
      </c>
      <c r="AR117" s="154">
        <f aca="true" t="shared" si="160" ref="AR117:AR122">AQ117/I117*100</f>
        <v>88.5926383783474</v>
      </c>
      <c r="AS117" s="243">
        <f aca="true" t="shared" si="161" ref="AS117:AS122">IF(S117=0,0,AQ117*100/S117)</f>
        <v>88.5926383783474</v>
      </c>
      <c r="AT117" s="197">
        <v>41664.7</v>
      </c>
      <c r="AU117" s="129">
        <f>AT117*100/I117</f>
        <v>85.27573333769965</v>
      </c>
      <c r="AV117" s="101"/>
      <c r="AW117" s="180">
        <v>0</v>
      </c>
      <c r="AX117" s="180">
        <v>0</v>
      </c>
      <c r="AY117" s="167">
        <f aca="true" t="shared" si="162" ref="AY117:AY122">IF(AW117=0,0,AX117*100/AW117)</f>
        <v>0</v>
      </c>
      <c r="AZ117" s="101"/>
      <c r="BA117" s="103"/>
    </row>
    <row r="118" spans="1:53" s="102" customFormat="1" ht="51">
      <c r="A118" s="256"/>
      <c r="B118" s="256"/>
      <c r="C118" s="256"/>
      <c r="D118" s="256"/>
      <c r="E118" s="256"/>
      <c r="F118" s="145" t="s">
        <v>30</v>
      </c>
      <c r="G118" s="179">
        <v>935248.1</v>
      </c>
      <c r="H118" s="179">
        <v>935248.1</v>
      </c>
      <c r="I118" s="180">
        <v>1185530.1</v>
      </c>
      <c r="J118" s="180">
        <v>935248.1</v>
      </c>
      <c r="K118" s="180">
        <v>935248.1</v>
      </c>
      <c r="L118" s="180">
        <v>935248.1</v>
      </c>
      <c r="M118" s="180">
        <v>935248.1</v>
      </c>
      <c r="N118" s="180">
        <v>935248.1</v>
      </c>
      <c r="O118" s="130">
        <f>N118</f>
        <v>935248.1</v>
      </c>
      <c r="P118" s="180">
        <v>1177660.1</v>
      </c>
      <c r="Q118" s="165">
        <v>1185530.1</v>
      </c>
      <c r="R118" s="165">
        <v>1185530.1</v>
      </c>
      <c r="S118" s="166">
        <v>1185530.1</v>
      </c>
      <c r="T118" s="165">
        <v>7613.1</v>
      </c>
      <c r="U118" s="167">
        <f>SUM(T118/G118*100)</f>
        <v>0.8140192960563085</v>
      </c>
      <c r="V118" s="165">
        <v>74213.8</v>
      </c>
      <c r="W118" s="167">
        <f>IF(H118=0,0,V118*100/H118)</f>
        <v>7.935199226814789</v>
      </c>
      <c r="X118" s="165">
        <v>108566.3</v>
      </c>
      <c r="Y118" s="167">
        <f>IF(J118=0,0,X118*100/J118)</f>
        <v>11.608288752471136</v>
      </c>
      <c r="Z118" s="165">
        <v>271900.05425000004</v>
      </c>
      <c r="AA118" s="167">
        <f>IF(K118=0,0,Z118*100/K118)</f>
        <v>29.072505386538616</v>
      </c>
      <c r="AB118" s="165">
        <v>240090.9</v>
      </c>
      <c r="AC118" s="167">
        <f>IF(L118=0,0,AB118*100/L118)</f>
        <v>25.67135928958316</v>
      </c>
      <c r="AD118" s="165">
        <v>268460.4</v>
      </c>
      <c r="AE118" s="167">
        <f>IF(O118=0,0,AD118*100/O118)</f>
        <v>28.704725516149143</v>
      </c>
      <c r="AF118" s="165">
        <v>464823.1</v>
      </c>
      <c r="AG118" s="167">
        <f>IF(N118=0,0,AF118*100/N118)</f>
        <v>49.70051262333492</v>
      </c>
      <c r="AH118" s="165">
        <v>580824</v>
      </c>
      <c r="AI118" s="167">
        <f>IF(O118=0,0,AH118*100/O118)</f>
        <v>62.10373482715442</v>
      </c>
      <c r="AJ118" s="164">
        <v>677578.6</v>
      </c>
      <c r="AK118" s="167">
        <f t="shared" si="156"/>
        <v>57.53600720615396</v>
      </c>
      <c r="AL118" s="165">
        <v>788178.4</v>
      </c>
      <c r="AM118" s="134">
        <f t="shared" si="157"/>
        <v>66.48320443318984</v>
      </c>
      <c r="AN118" s="166">
        <v>918729.5</v>
      </c>
      <c r="AO118" s="153">
        <f t="shared" si="158"/>
        <v>77.49524874990522</v>
      </c>
      <c r="AP118" s="134">
        <f t="shared" si="159"/>
        <v>77.4952487499052</v>
      </c>
      <c r="AQ118" s="166">
        <v>1163758.9</v>
      </c>
      <c r="AR118" s="154">
        <f t="shared" si="160"/>
        <v>98.16358943564569</v>
      </c>
      <c r="AS118" s="243">
        <f t="shared" si="161"/>
        <v>98.16358943564569</v>
      </c>
      <c r="AT118" s="165">
        <v>1174538.9</v>
      </c>
      <c r="AU118" s="129">
        <f>AT118*100/I118</f>
        <v>99.07288731007334</v>
      </c>
      <c r="AV118" s="101"/>
      <c r="AW118" s="130">
        <v>103195.45542000004</v>
      </c>
      <c r="AX118" s="130">
        <v>103195.45542000004</v>
      </c>
      <c r="AY118" s="167">
        <f t="shared" si="162"/>
        <v>100.00000000000001</v>
      </c>
      <c r="AZ118" s="101"/>
      <c r="BA118" s="103"/>
    </row>
    <row r="119" spans="1:53" s="102" customFormat="1" ht="63.75">
      <c r="A119" s="256"/>
      <c r="B119" s="256"/>
      <c r="C119" s="256"/>
      <c r="D119" s="256"/>
      <c r="E119" s="256"/>
      <c r="F119" s="145" t="s">
        <v>38</v>
      </c>
      <c r="G119" s="179">
        <v>39238</v>
      </c>
      <c r="H119" s="179">
        <v>39238</v>
      </c>
      <c r="I119" s="165">
        <v>35238</v>
      </c>
      <c r="J119" s="180">
        <v>39238</v>
      </c>
      <c r="K119" s="180">
        <v>39238</v>
      </c>
      <c r="L119" s="165">
        <v>35663</v>
      </c>
      <c r="M119" s="165">
        <v>35663</v>
      </c>
      <c r="N119" s="165">
        <v>35663</v>
      </c>
      <c r="O119" s="130">
        <f>N119</f>
        <v>35663</v>
      </c>
      <c r="P119" s="165">
        <v>35238</v>
      </c>
      <c r="Q119" s="165">
        <v>35238</v>
      </c>
      <c r="R119" s="165">
        <v>35238</v>
      </c>
      <c r="S119" s="166">
        <v>35238</v>
      </c>
      <c r="T119" s="165">
        <v>0</v>
      </c>
      <c r="U119" s="167">
        <f>SUM(T119/G119*100)</f>
        <v>0</v>
      </c>
      <c r="V119" s="165">
        <v>3737</v>
      </c>
      <c r="W119" s="167">
        <f>IF(H119=0,0,V119*100/H119)</f>
        <v>9.523930883327386</v>
      </c>
      <c r="X119" s="165">
        <v>7313</v>
      </c>
      <c r="Y119" s="167">
        <f>IF(J119=0,0,X119*100/J119)</f>
        <v>18.637545236760282</v>
      </c>
      <c r="Z119" s="165">
        <v>15419</v>
      </c>
      <c r="AA119" s="167">
        <f>IF(K119=0,0,Z119*100/K119)</f>
        <v>39.29609052449156</v>
      </c>
      <c r="AB119" s="165">
        <v>15419</v>
      </c>
      <c r="AC119" s="167">
        <f>IF(L119=0,0,AB119*100/L119)</f>
        <v>43.235285870510054</v>
      </c>
      <c r="AD119" s="165">
        <v>15419</v>
      </c>
      <c r="AE119" s="167">
        <f>IF(O119=0,0,AD119*100/O119)</f>
        <v>43.235285870510054</v>
      </c>
      <c r="AF119" s="165">
        <v>15419</v>
      </c>
      <c r="AG119" s="167">
        <f>IF(N119=0,0,AF119*100/N119)</f>
        <v>43.235285870510054</v>
      </c>
      <c r="AH119" s="165">
        <v>15419</v>
      </c>
      <c r="AI119" s="167">
        <f>IF(O119=0,0,AH119*100/O119)</f>
        <v>43.235285870510054</v>
      </c>
      <c r="AJ119" s="164">
        <v>15419</v>
      </c>
      <c r="AK119" s="167">
        <f t="shared" si="156"/>
        <v>43.75673988308076</v>
      </c>
      <c r="AL119" s="165">
        <v>26746.9</v>
      </c>
      <c r="AM119" s="134">
        <f t="shared" si="157"/>
        <v>75.90357000964867</v>
      </c>
      <c r="AN119" s="166">
        <v>27118.3</v>
      </c>
      <c r="AO119" s="153">
        <f t="shared" si="158"/>
        <v>76.95754583120494</v>
      </c>
      <c r="AP119" s="134">
        <f t="shared" si="159"/>
        <v>76.95754583120495</v>
      </c>
      <c r="AQ119" s="166">
        <v>35238</v>
      </c>
      <c r="AR119" s="154">
        <f t="shared" si="160"/>
        <v>100</v>
      </c>
      <c r="AS119" s="243">
        <f t="shared" si="161"/>
        <v>100</v>
      </c>
      <c r="AT119" s="165">
        <v>35238</v>
      </c>
      <c r="AU119" s="129">
        <f>AT119*100/I119</f>
        <v>100</v>
      </c>
      <c r="AV119" s="101"/>
      <c r="AW119" s="130">
        <v>371.4</v>
      </c>
      <c r="AX119" s="130">
        <v>371.4</v>
      </c>
      <c r="AY119" s="167">
        <f t="shared" si="162"/>
        <v>100</v>
      </c>
      <c r="AZ119" s="101"/>
      <c r="BA119" s="103"/>
    </row>
    <row r="120" spans="1:53" s="102" customFormat="1" ht="51">
      <c r="A120" s="256"/>
      <c r="B120" s="256"/>
      <c r="C120" s="256"/>
      <c r="D120" s="256"/>
      <c r="E120" s="256"/>
      <c r="F120" s="145" t="s">
        <v>23</v>
      </c>
      <c r="G120" s="179">
        <v>286000</v>
      </c>
      <c r="H120" s="179">
        <v>286000</v>
      </c>
      <c r="I120" s="180">
        <v>1602963.5</v>
      </c>
      <c r="J120" s="180">
        <v>286000</v>
      </c>
      <c r="K120" s="180">
        <v>286000</v>
      </c>
      <c r="L120" s="180">
        <v>286000</v>
      </c>
      <c r="M120" s="180">
        <v>286000</v>
      </c>
      <c r="N120" s="180">
        <v>286000</v>
      </c>
      <c r="O120" s="130">
        <f>N120</f>
        <v>286000</v>
      </c>
      <c r="P120" s="180">
        <v>286000</v>
      </c>
      <c r="Q120" s="165">
        <v>959624</v>
      </c>
      <c r="R120" s="165">
        <v>959624</v>
      </c>
      <c r="S120" s="200">
        <v>1602963.5</v>
      </c>
      <c r="T120" s="165">
        <v>0</v>
      </c>
      <c r="U120" s="167">
        <f>SUM(T120/G120*100)</f>
        <v>0</v>
      </c>
      <c r="V120" s="165">
        <v>286000</v>
      </c>
      <c r="W120" s="167">
        <f>IF(H120=0,0,V120*100/H120)</f>
        <v>100</v>
      </c>
      <c r="X120" s="165">
        <v>286000</v>
      </c>
      <c r="Y120" s="167">
        <f>IF(J120=0,0,X120*100/J120)</f>
        <v>100</v>
      </c>
      <c r="Z120" s="165">
        <v>286000</v>
      </c>
      <c r="AA120" s="167">
        <f>IF(K120=0,0,Z120*100/K120)</f>
        <v>100</v>
      </c>
      <c r="AB120" s="165">
        <v>286000</v>
      </c>
      <c r="AC120" s="167">
        <f>IF(L120=0,0,AB120*100/L120)</f>
        <v>100</v>
      </c>
      <c r="AD120" s="165">
        <v>286000</v>
      </c>
      <c r="AE120" s="167">
        <f>IF(O120=0,0,AD120*100/O120)</f>
        <v>100</v>
      </c>
      <c r="AF120" s="165">
        <v>286000</v>
      </c>
      <c r="AG120" s="167">
        <f>IF(N120=0,0,AF120*100/N120)</f>
        <v>100</v>
      </c>
      <c r="AH120" s="165">
        <v>286000</v>
      </c>
      <c r="AI120" s="167">
        <f>IF(O120=0,0,AH120*100/O120)</f>
        <v>100</v>
      </c>
      <c r="AJ120" s="164">
        <v>286000</v>
      </c>
      <c r="AK120" s="167">
        <f t="shared" si="156"/>
        <v>100</v>
      </c>
      <c r="AL120" s="165">
        <v>959621.8</v>
      </c>
      <c r="AM120" s="134">
        <f t="shared" si="157"/>
        <v>99.99977074354122</v>
      </c>
      <c r="AN120" s="166">
        <v>959621.8</v>
      </c>
      <c r="AO120" s="153">
        <f t="shared" si="158"/>
        <v>59.86548040551142</v>
      </c>
      <c r="AP120" s="134">
        <f t="shared" si="159"/>
        <v>99.99977074354122</v>
      </c>
      <c r="AQ120" s="166">
        <v>1602963.5</v>
      </c>
      <c r="AR120" s="154">
        <f t="shared" si="160"/>
        <v>100</v>
      </c>
      <c r="AS120" s="243">
        <f t="shared" si="161"/>
        <v>100</v>
      </c>
      <c r="AT120" s="165">
        <v>959624</v>
      </c>
      <c r="AU120" s="129">
        <v>100</v>
      </c>
      <c r="AV120" s="101"/>
      <c r="AW120" s="130">
        <v>2.2</v>
      </c>
      <c r="AX120" s="130">
        <v>2.2</v>
      </c>
      <c r="AY120" s="167">
        <f t="shared" si="162"/>
        <v>100</v>
      </c>
      <c r="AZ120" s="101"/>
      <c r="BA120" s="103"/>
    </row>
    <row r="121" spans="1:53" s="102" customFormat="1" ht="38.25">
      <c r="A121" s="256"/>
      <c r="B121" s="256"/>
      <c r="C121" s="256"/>
      <c r="D121" s="256"/>
      <c r="E121" s="256"/>
      <c r="F121" s="145" t="s">
        <v>44</v>
      </c>
      <c r="G121" s="179">
        <v>23372910</v>
      </c>
      <c r="H121" s="179">
        <v>23372910</v>
      </c>
      <c r="I121" s="166">
        <v>10605926.5</v>
      </c>
      <c r="J121" s="180">
        <v>23372910</v>
      </c>
      <c r="K121" s="180">
        <v>23372910</v>
      </c>
      <c r="L121" s="165">
        <v>23117493</v>
      </c>
      <c r="M121" s="165">
        <v>23117493</v>
      </c>
      <c r="N121" s="165">
        <v>23117493</v>
      </c>
      <c r="O121" s="130">
        <f>N121</f>
        <v>23117493</v>
      </c>
      <c r="P121" s="165">
        <v>23117493</v>
      </c>
      <c r="Q121" s="165">
        <v>23109623</v>
      </c>
      <c r="R121" s="165">
        <v>23109623</v>
      </c>
      <c r="S121" s="166">
        <v>10605926.5</v>
      </c>
      <c r="T121" s="165">
        <v>0</v>
      </c>
      <c r="U121" s="167">
        <f>SUM(T121/G121*100)</f>
        <v>0</v>
      </c>
      <c r="V121" s="165">
        <v>0</v>
      </c>
      <c r="W121" s="167">
        <f>IF(H121=0,0,V121*100/H121)</f>
        <v>0</v>
      </c>
      <c r="X121" s="165">
        <v>0</v>
      </c>
      <c r="Y121" s="167">
        <f>IF(J121=0,0,X121*100/J121)</f>
        <v>0</v>
      </c>
      <c r="Z121" s="165">
        <v>1708090</v>
      </c>
      <c r="AA121" s="167">
        <f>IF(K121=0,0,Z121*100/K121)</f>
        <v>7.307990318706571</v>
      </c>
      <c r="AB121" s="165">
        <v>1708095</v>
      </c>
      <c r="AC121" s="167">
        <f>IF(L121=0,0,AB121*100/L121)</f>
        <v>7.388755346438301</v>
      </c>
      <c r="AD121" s="165">
        <v>1714953.9</v>
      </c>
      <c r="AE121" s="167">
        <f>IF(O121=0,0,AD121*100/O121)</f>
        <v>7.418425086145803</v>
      </c>
      <c r="AF121" s="165">
        <v>4128207</v>
      </c>
      <c r="AG121" s="167">
        <f>IF(N121=0,0,AF121*100/N121)</f>
        <v>17.857502974046536</v>
      </c>
      <c r="AH121" s="165">
        <v>4319908</v>
      </c>
      <c r="AI121" s="167">
        <f>IF(O121=0,0,AH121*100/O121)</f>
        <v>18.68674946716757</v>
      </c>
      <c r="AJ121" s="165">
        <v>4319908</v>
      </c>
      <c r="AK121" s="167">
        <f t="shared" si="156"/>
        <v>18.68674946716757</v>
      </c>
      <c r="AL121" s="165">
        <v>6592856.000000001</v>
      </c>
      <c r="AM121" s="134">
        <f t="shared" si="157"/>
        <v>28.52861771046633</v>
      </c>
      <c r="AN121" s="166">
        <v>10644346</v>
      </c>
      <c r="AO121" s="153">
        <f t="shared" si="158"/>
        <v>100.36224558033662</v>
      </c>
      <c r="AP121" s="134">
        <f t="shared" si="159"/>
        <v>46.060232137928</v>
      </c>
      <c r="AQ121" s="166">
        <v>11109637.5</v>
      </c>
      <c r="AR121" s="154">
        <f t="shared" si="160"/>
        <v>104.7493351948083</v>
      </c>
      <c r="AS121" s="243">
        <f t="shared" si="161"/>
        <v>104.7493351948083</v>
      </c>
      <c r="AT121" s="165">
        <v>23109623</v>
      </c>
      <c r="AU121" s="129">
        <f>AT121*100/I121</f>
        <v>217.89348625035257</v>
      </c>
      <c r="AV121" s="101"/>
      <c r="AW121" s="130">
        <v>3567879</v>
      </c>
      <c r="AX121" s="130">
        <v>4051490</v>
      </c>
      <c r="AY121" s="167">
        <f t="shared" si="162"/>
        <v>113.5545796255983</v>
      </c>
      <c r="AZ121" s="101"/>
      <c r="BA121" s="103"/>
    </row>
    <row r="122" spans="1:54" s="102" customFormat="1" ht="409.5">
      <c r="A122" s="124" t="s">
        <v>90</v>
      </c>
      <c r="B122" s="124">
        <v>16</v>
      </c>
      <c r="C122" s="145" t="s">
        <v>71</v>
      </c>
      <c r="D122" s="124" t="s">
        <v>204</v>
      </c>
      <c r="E122" s="124" t="s">
        <v>35</v>
      </c>
      <c r="F122" s="128" t="s">
        <v>26</v>
      </c>
      <c r="G122" s="149">
        <f aca="true" t="shared" si="163" ref="G122:T122">SUM(G124:G128)</f>
        <v>5421252.9</v>
      </c>
      <c r="H122" s="149">
        <f t="shared" si="163"/>
        <v>5421252.9</v>
      </c>
      <c r="I122" s="149">
        <f t="shared" si="163"/>
        <v>5176523.1</v>
      </c>
      <c r="J122" s="149">
        <f t="shared" si="163"/>
        <v>5671808.8</v>
      </c>
      <c r="K122" s="149">
        <f t="shared" si="163"/>
        <v>5671808.8</v>
      </c>
      <c r="L122" s="149">
        <f t="shared" si="163"/>
        <v>5671808.8</v>
      </c>
      <c r="M122" s="149">
        <f t="shared" si="163"/>
        <v>5671808.8</v>
      </c>
      <c r="N122" s="149">
        <f t="shared" si="163"/>
        <v>5671808.8</v>
      </c>
      <c r="O122" s="149">
        <f t="shared" si="163"/>
        <v>5671808.8</v>
      </c>
      <c r="P122" s="149">
        <f t="shared" si="163"/>
        <v>5712248.1</v>
      </c>
      <c r="Q122" s="149">
        <f t="shared" si="163"/>
        <v>5712248.1</v>
      </c>
      <c r="R122" s="149">
        <f t="shared" si="163"/>
        <v>5712248.1</v>
      </c>
      <c r="S122" s="231">
        <f t="shared" si="163"/>
        <v>5635317.1</v>
      </c>
      <c r="T122" s="149">
        <f t="shared" si="163"/>
        <v>23811.5</v>
      </c>
      <c r="U122" s="150">
        <f>SUM(T122/G122*100)</f>
        <v>0.4392250359690838</v>
      </c>
      <c r="V122" s="149">
        <f>SUM(V124:V128)</f>
        <v>436208.8</v>
      </c>
      <c r="W122" s="150">
        <f>IF(H122=0,0,V122*100/H122)</f>
        <v>8.046272845895087</v>
      </c>
      <c r="X122" s="149">
        <f>SUM(X124:X128)</f>
        <v>862327.8999999999</v>
      </c>
      <c r="Y122" s="150">
        <f>IF(J122=0,0,X122*100/J122)</f>
        <v>15.203754752804782</v>
      </c>
      <c r="Z122" s="149">
        <f>SUM(Z124:Z128)</f>
        <v>2488889.4</v>
      </c>
      <c r="AA122" s="150">
        <f>IF(K122=0,0,Z122*100/K122)</f>
        <v>43.881757791271106</v>
      </c>
      <c r="AB122" s="149">
        <f>SUM(AB124:AB128)</f>
        <v>2650727.4</v>
      </c>
      <c r="AC122" s="150">
        <f>IF(L122=0,0,AB122*100/L122)</f>
        <v>46.73513324356068</v>
      </c>
      <c r="AD122" s="149">
        <f>SUM(AD124:AD128)</f>
        <v>2799818.1999999997</v>
      </c>
      <c r="AE122" s="151">
        <f>IF(O122=0,0,AD122*100/O122)</f>
        <v>49.36376205065305</v>
      </c>
      <c r="AF122" s="149">
        <f>SUM(AF124:AF128)</f>
        <v>2960708.9</v>
      </c>
      <c r="AG122" s="150">
        <f>IF(N122=0,0,AF122*100/N122)</f>
        <v>52.20043560001529</v>
      </c>
      <c r="AH122" s="149">
        <f>SUM(AH124:AH128)</f>
        <v>3077347.0999999996</v>
      </c>
      <c r="AI122" s="150">
        <f>IF(O122=0,0,AH122*100/O122)</f>
        <v>54.25689067656864</v>
      </c>
      <c r="AJ122" s="149">
        <f>SUM(AJ124:AJ128)</f>
        <v>3321535.57</v>
      </c>
      <c r="AK122" s="150">
        <f t="shared" si="156"/>
        <v>58.1476068940353</v>
      </c>
      <c r="AL122" s="149">
        <f>SUM(AL124:AL128)</f>
        <v>3928540.6999999997</v>
      </c>
      <c r="AM122" s="150">
        <f t="shared" si="157"/>
        <v>68.77398584980929</v>
      </c>
      <c r="AN122" s="152">
        <f>SUM(AN124:AN128)</f>
        <v>4145126.4</v>
      </c>
      <c r="AO122" s="153">
        <f t="shared" si="158"/>
        <v>80.07549314326444</v>
      </c>
      <c r="AP122" s="150">
        <f t="shared" si="159"/>
        <v>72.56558761864703</v>
      </c>
      <c r="AQ122" s="152">
        <f>SUM(AQ124:AQ128)</f>
        <v>4612327.95</v>
      </c>
      <c r="AR122" s="154">
        <f t="shared" si="160"/>
        <v>89.1008860754432</v>
      </c>
      <c r="AS122" s="189">
        <f t="shared" si="161"/>
        <v>81.84682189401552</v>
      </c>
      <c r="AT122" s="190">
        <f>SUM(AT124:AT128)</f>
        <v>5195954.1</v>
      </c>
      <c r="AU122" s="129">
        <f>AT122*100/I122</f>
        <v>100.37536778305886</v>
      </c>
      <c r="AV122" s="213" t="s">
        <v>171</v>
      </c>
      <c r="AW122" s="191">
        <f>SUM(AW124:AW128)</f>
        <v>133843.6</v>
      </c>
      <c r="AX122" s="191">
        <f>SUM(AX124:AX128)</f>
        <v>111229.9</v>
      </c>
      <c r="AY122" s="134">
        <f t="shared" si="162"/>
        <v>83.10438452044028</v>
      </c>
      <c r="AZ122" s="214" t="s">
        <v>232</v>
      </c>
      <c r="BA122" s="103"/>
      <c r="BB122" s="102">
        <f>283480.5+45936.9</f>
        <v>329417.4</v>
      </c>
    </row>
    <row r="123" spans="1:53" s="102" customFormat="1" ht="25.5">
      <c r="A123" s="256"/>
      <c r="B123" s="256"/>
      <c r="C123" s="256"/>
      <c r="D123" s="256"/>
      <c r="E123" s="256"/>
      <c r="F123" s="136" t="s">
        <v>29</v>
      </c>
      <c r="G123" s="137"/>
      <c r="H123" s="137"/>
      <c r="I123" s="137"/>
      <c r="J123" s="137"/>
      <c r="K123" s="137"/>
      <c r="L123" s="137"/>
      <c r="M123" s="137"/>
      <c r="N123" s="137"/>
      <c r="O123" s="137"/>
      <c r="P123" s="137"/>
      <c r="Q123" s="137"/>
      <c r="R123" s="137"/>
      <c r="S123" s="139"/>
      <c r="T123" s="137"/>
      <c r="U123" s="137"/>
      <c r="V123" s="137"/>
      <c r="W123" s="137"/>
      <c r="X123" s="137"/>
      <c r="Y123" s="137"/>
      <c r="Z123" s="137"/>
      <c r="AA123" s="137"/>
      <c r="AB123" s="137"/>
      <c r="AC123" s="137"/>
      <c r="AD123" s="137"/>
      <c r="AE123" s="138"/>
      <c r="AF123" s="137"/>
      <c r="AG123" s="137"/>
      <c r="AH123" s="137"/>
      <c r="AI123" s="137"/>
      <c r="AJ123" s="137"/>
      <c r="AK123" s="137"/>
      <c r="AL123" s="137"/>
      <c r="AM123" s="137"/>
      <c r="AN123" s="139"/>
      <c r="AO123" s="138"/>
      <c r="AP123" s="137"/>
      <c r="AQ123" s="139"/>
      <c r="AR123" s="140"/>
      <c r="AS123" s="139"/>
      <c r="AT123" s="142"/>
      <c r="AU123" s="143"/>
      <c r="AV123" s="101"/>
      <c r="AW123" s="194"/>
      <c r="AX123" s="142"/>
      <c r="AY123" s="193"/>
      <c r="AZ123" s="101"/>
      <c r="BA123" s="103"/>
    </row>
    <row r="124" spans="1:53" s="102" customFormat="1" ht="38.25">
      <c r="A124" s="256"/>
      <c r="B124" s="256"/>
      <c r="C124" s="256"/>
      <c r="D124" s="256"/>
      <c r="E124" s="256"/>
      <c r="F124" s="144" t="s">
        <v>27</v>
      </c>
      <c r="G124" s="179">
        <v>200200</v>
      </c>
      <c r="H124" s="179">
        <v>200200</v>
      </c>
      <c r="I124" s="232">
        <v>329417.5</v>
      </c>
      <c r="J124" s="180">
        <v>344755.9</v>
      </c>
      <c r="K124" s="180">
        <v>344755.9</v>
      </c>
      <c r="L124" s="197">
        <v>344755.9</v>
      </c>
      <c r="M124" s="197">
        <v>344755.9</v>
      </c>
      <c r="N124" s="197">
        <v>344755.9</v>
      </c>
      <c r="O124" s="180">
        <f>N124</f>
        <v>344755.9</v>
      </c>
      <c r="P124" s="197">
        <v>379417.4</v>
      </c>
      <c r="Q124" s="197">
        <v>379417.4</v>
      </c>
      <c r="R124" s="197">
        <v>379417.4</v>
      </c>
      <c r="S124" s="198">
        <v>329417.4</v>
      </c>
      <c r="T124" s="197">
        <v>0</v>
      </c>
      <c r="U124" s="167">
        <f>SUM(T124/G124*100)</f>
        <v>0</v>
      </c>
      <c r="V124" s="197">
        <v>0</v>
      </c>
      <c r="W124" s="167">
        <f aca="true" t="shared" si="164" ref="W124:W129">IF(H124=0,0,V124*100/H124)</f>
        <v>0</v>
      </c>
      <c r="X124" s="197">
        <v>0</v>
      </c>
      <c r="Y124" s="167">
        <f aca="true" t="shared" si="165" ref="Y124:Y129">IF(J124=0,0,X124*100/J124)</f>
        <v>0</v>
      </c>
      <c r="Z124" s="197">
        <v>0</v>
      </c>
      <c r="AA124" s="167">
        <f aca="true" t="shared" si="166" ref="AA124:AA129">IF(K124=0,0,Z124*100/K124)</f>
        <v>0</v>
      </c>
      <c r="AB124" s="197">
        <v>0</v>
      </c>
      <c r="AC124" s="167">
        <f aca="true" t="shared" si="167" ref="AC124:AC129">IF(L124=0,0,AB124*100/L124)</f>
        <v>0</v>
      </c>
      <c r="AD124" s="197">
        <v>0</v>
      </c>
      <c r="AE124" s="167">
        <f aca="true" t="shared" si="168" ref="AE124:AE129">IF(O124=0,0,AD124*100/O124)</f>
        <v>0</v>
      </c>
      <c r="AF124" s="197">
        <v>0</v>
      </c>
      <c r="AG124" s="167">
        <f aca="true" t="shared" si="169" ref="AG124:AG129">IF(N124=0,0,AF124*100/N124)</f>
        <v>0</v>
      </c>
      <c r="AH124" s="197">
        <v>0</v>
      </c>
      <c r="AI124" s="167">
        <f aca="true" t="shared" si="170" ref="AI124:AI129">IF(O124=0,0,AH124*100/O124)</f>
        <v>0</v>
      </c>
      <c r="AJ124" s="197">
        <v>1911.9</v>
      </c>
      <c r="AK124" s="167">
        <f aca="true" t="shared" si="171" ref="AK124:AK129">IF(P124=0,0,AJ124*100/P124)</f>
        <v>0.503904143563263</v>
      </c>
      <c r="AL124" s="197">
        <v>224533.15</v>
      </c>
      <c r="AM124" s="134">
        <f>AL124/Q124*100</f>
        <v>59.178400885146544</v>
      </c>
      <c r="AN124" s="198">
        <v>236770.6</v>
      </c>
      <c r="AO124" s="153">
        <f>AN124/I124*100</f>
        <v>71.87553788126012</v>
      </c>
      <c r="AP124" s="134">
        <f aca="true" t="shared" si="172" ref="AP124:AP129">IF(R124=0,0,AN124*100/R124)</f>
        <v>62.40372739890157</v>
      </c>
      <c r="AQ124" s="198">
        <v>281713.9</v>
      </c>
      <c r="AR124" s="154">
        <f>AQ124/I124*100</f>
        <v>85.51880212799867</v>
      </c>
      <c r="AS124" s="243">
        <f aca="true" t="shared" si="173" ref="AS124:AS129">IF(S124=0,0,AQ124*100/S124)</f>
        <v>85.51882808861949</v>
      </c>
      <c r="AT124" s="197">
        <v>329417.5</v>
      </c>
      <c r="AU124" s="129">
        <f>AT124*100/I124</f>
        <v>100</v>
      </c>
      <c r="AV124" s="101"/>
      <c r="AW124" s="232">
        <v>10000</v>
      </c>
      <c r="AX124" s="232">
        <v>10000</v>
      </c>
      <c r="AY124" s="233">
        <f aca="true" t="shared" si="174" ref="AY124:AY129">IF(AW124=0,0,AX124*100/AW124)</f>
        <v>100</v>
      </c>
      <c r="AZ124" s="101"/>
      <c r="BA124" s="103"/>
    </row>
    <row r="125" spans="1:53" s="102" customFormat="1" ht="51">
      <c r="A125" s="256"/>
      <c r="B125" s="256"/>
      <c r="C125" s="256"/>
      <c r="D125" s="256"/>
      <c r="E125" s="256"/>
      <c r="F125" s="145" t="s">
        <v>30</v>
      </c>
      <c r="G125" s="179">
        <v>3648385.5</v>
      </c>
      <c r="H125" s="179">
        <v>3648385.5</v>
      </c>
      <c r="I125" s="232">
        <v>3189591.4</v>
      </c>
      <c r="J125" s="180">
        <v>3648385.5</v>
      </c>
      <c r="K125" s="180">
        <v>3648385.5</v>
      </c>
      <c r="L125" s="165">
        <v>3648385.5</v>
      </c>
      <c r="M125" s="165">
        <v>3648385.5</v>
      </c>
      <c r="N125" s="165">
        <v>3648385.5</v>
      </c>
      <c r="O125" s="130">
        <f>N125</f>
        <v>3648385.5</v>
      </c>
      <c r="P125" s="165">
        <v>3648385.5</v>
      </c>
      <c r="Q125" s="165">
        <v>3648385.5</v>
      </c>
      <c r="R125" s="165">
        <v>3648385.5</v>
      </c>
      <c r="S125" s="166">
        <v>3648385.5</v>
      </c>
      <c r="T125" s="165">
        <v>23811.5</v>
      </c>
      <c r="U125" s="167">
        <f>SUM(T125/G125*100)</f>
        <v>0.6526585526666522</v>
      </c>
      <c r="V125" s="165">
        <v>436208.8</v>
      </c>
      <c r="W125" s="167">
        <f t="shared" si="164"/>
        <v>11.956214605062979</v>
      </c>
      <c r="X125" s="165">
        <v>755144.1</v>
      </c>
      <c r="Y125" s="167">
        <f t="shared" si="165"/>
        <v>20.69803478826456</v>
      </c>
      <c r="Z125" s="165">
        <v>2317205.8</v>
      </c>
      <c r="AA125" s="167">
        <f t="shared" si="166"/>
        <v>63.5131841193865</v>
      </c>
      <c r="AB125" s="165">
        <v>2411828</v>
      </c>
      <c r="AC125" s="167">
        <f t="shared" si="167"/>
        <v>66.10672035616851</v>
      </c>
      <c r="AD125" s="165">
        <v>2442570</v>
      </c>
      <c r="AE125" s="167">
        <f t="shared" si="168"/>
        <v>66.94933964626271</v>
      </c>
      <c r="AF125" s="165">
        <v>2505606.9</v>
      </c>
      <c r="AG125" s="167">
        <f t="shared" si="169"/>
        <v>68.67714225922671</v>
      </c>
      <c r="AH125" s="165">
        <v>2540108.8</v>
      </c>
      <c r="AI125" s="167">
        <f t="shared" si="170"/>
        <v>69.62281809309899</v>
      </c>
      <c r="AJ125" s="165">
        <v>2766383.8</v>
      </c>
      <c r="AK125" s="167">
        <f t="shared" si="171"/>
        <v>75.8248765104455</v>
      </c>
      <c r="AL125" s="165">
        <v>2836783.65</v>
      </c>
      <c r="AM125" s="134">
        <f>AL125/Q125*100</f>
        <v>77.75449304904868</v>
      </c>
      <c r="AN125" s="166">
        <v>2944629.5</v>
      </c>
      <c r="AO125" s="153">
        <f>AN125/I125*100</f>
        <v>92.31995985441898</v>
      </c>
      <c r="AP125" s="134">
        <f t="shared" si="172"/>
        <v>80.71048138964481</v>
      </c>
      <c r="AQ125" s="166">
        <v>3177588.7</v>
      </c>
      <c r="AR125" s="154">
        <f>AQ125/I125*100</f>
        <v>99.62369161140829</v>
      </c>
      <c r="AS125" s="243">
        <f t="shared" si="173"/>
        <v>87.09574961308228</v>
      </c>
      <c r="AT125" s="165">
        <v>3182091.4</v>
      </c>
      <c r="AU125" s="129">
        <f>AT125*100/I125</f>
        <v>99.76486016359337</v>
      </c>
      <c r="AV125" s="101"/>
      <c r="AW125" s="234">
        <v>4727.5</v>
      </c>
      <c r="AX125" s="234">
        <v>4727.5</v>
      </c>
      <c r="AY125" s="233">
        <f t="shared" si="174"/>
        <v>100</v>
      </c>
      <c r="AZ125" s="101"/>
      <c r="BA125" s="103"/>
    </row>
    <row r="126" spans="1:53" s="102" customFormat="1" ht="63.75">
      <c r="A126" s="256"/>
      <c r="B126" s="256"/>
      <c r="C126" s="256"/>
      <c r="D126" s="256"/>
      <c r="E126" s="256"/>
      <c r="F126" s="145" t="s">
        <v>38</v>
      </c>
      <c r="G126" s="179">
        <v>102167.4</v>
      </c>
      <c r="H126" s="179">
        <v>102167.4</v>
      </c>
      <c r="I126" s="180">
        <v>185695.2</v>
      </c>
      <c r="J126" s="180">
        <v>102167.4</v>
      </c>
      <c r="K126" s="180">
        <v>102167.4</v>
      </c>
      <c r="L126" s="165">
        <v>102167.4</v>
      </c>
      <c r="M126" s="165">
        <v>102167.4</v>
      </c>
      <c r="N126" s="165">
        <v>102167.4</v>
      </c>
      <c r="O126" s="130">
        <v>102167.4</v>
      </c>
      <c r="P126" s="165">
        <v>112626.2</v>
      </c>
      <c r="Q126" s="165">
        <v>112626.2</v>
      </c>
      <c r="R126" s="165">
        <v>112626.2</v>
      </c>
      <c r="S126" s="166">
        <v>185695.2</v>
      </c>
      <c r="T126" s="165">
        <v>0</v>
      </c>
      <c r="U126" s="167">
        <f>SUM(T126/G126*100)</f>
        <v>0</v>
      </c>
      <c r="V126" s="165">
        <v>0</v>
      </c>
      <c r="W126" s="167">
        <f t="shared" si="164"/>
        <v>0</v>
      </c>
      <c r="X126" s="165">
        <v>55.2</v>
      </c>
      <c r="Y126" s="167">
        <f t="shared" si="165"/>
        <v>0.054028975974723836</v>
      </c>
      <c r="Z126" s="165">
        <v>5048.5</v>
      </c>
      <c r="AA126" s="167">
        <f t="shared" si="166"/>
        <v>4.941400094354951</v>
      </c>
      <c r="AB126" s="165">
        <v>38327</v>
      </c>
      <c r="AC126" s="167">
        <f t="shared" si="167"/>
        <v>37.51392322795726</v>
      </c>
      <c r="AD126" s="165">
        <v>45858.3</v>
      </c>
      <c r="AE126" s="167">
        <f t="shared" si="168"/>
        <v>44.885452698218806</v>
      </c>
      <c r="AF126" s="165">
        <v>49169.8</v>
      </c>
      <c r="AG126" s="167">
        <f t="shared" si="169"/>
        <v>48.126701863803916</v>
      </c>
      <c r="AH126" s="165">
        <v>50853</v>
      </c>
      <c r="AI126" s="167">
        <f t="shared" si="170"/>
        <v>49.774194116714334</v>
      </c>
      <c r="AJ126" s="165">
        <v>52259.97</v>
      </c>
      <c r="AK126" s="167">
        <f t="shared" si="171"/>
        <v>46.401254770204446</v>
      </c>
      <c r="AL126" s="165">
        <v>58474.3</v>
      </c>
      <c r="AM126" s="134">
        <f>AL126/Q126*100</f>
        <v>51.9189140715038</v>
      </c>
      <c r="AN126" s="166">
        <v>60880.3</v>
      </c>
      <c r="AO126" s="153">
        <f>AN126/I126*100</f>
        <v>32.785069296352304</v>
      </c>
      <c r="AP126" s="134">
        <f t="shared" si="172"/>
        <v>54.05518431768097</v>
      </c>
      <c r="AQ126" s="166">
        <v>183278.3</v>
      </c>
      <c r="AR126" s="154">
        <f>AQ126/I126*100</f>
        <v>98.69845854927858</v>
      </c>
      <c r="AS126" s="243">
        <f t="shared" si="173"/>
        <v>98.6984585492786</v>
      </c>
      <c r="AT126" s="165">
        <v>112626.2</v>
      </c>
      <c r="AU126" s="129">
        <f>AT126*100/I126</f>
        <v>60.65110999099599</v>
      </c>
      <c r="AV126" s="101"/>
      <c r="AW126" s="234">
        <v>2406</v>
      </c>
      <c r="AX126" s="234">
        <v>2406</v>
      </c>
      <c r="AY126" s="233">
        <f t="shared" si="174"/>
        <v>100</v>
      </c>
      <c r="AZ126" s="101"/>
      <c r="BA126" s="103"/>
    </row>
    <row r="127" spans="1:53" s="102" customFormat="1" ht="51">
      <c r="A127" s="256"/>
      <c r="B127" s="256"/>
      <c r="C127" s="256"/>
      <c r="D127" s="256"/>
      <c r="E127" s="256"/>
      <c r="F127" s="145" t="s">
        <v>23</v>
      </c>
      <c r="G127" s="179">
        <v>0</v>
      </c>
      <c r="H127" s="179">
        <v>0</v>
      </c>
      <c r="I127" s="180">
        <v>0</v>
      </c>
      <c r="J127" s="180">
        <v>0</v>
      </c>
      <c r="K127" s="180">
        <v>0</v>
      </c>
      <c r="L127" s="165">
        <v>0</v>
      </c>
      <c r="M127" s="165">
        <v>0</v>
      </c>
      <c r="N127" s="165">
        <v>0</v>
      </c>
      <c r="O127" s="130">
        <f>N127</f>
        <v>0</v>
      </c>
      <c r="P127" s="165">
        <v>0</v>
      </c>
      <c r="Q127" s="165">
        <v>0</v>
      </c>
      <c r="R127" s="165">
        <v>0</v>
      </c>
      <c r="S127" s="166">
        <v>0</v>
      </c>
      <c r="T127" s="165">
        <v>0</v>
      </c>
      <c r="U127" s="167">
        <v>0</v>
      </c>
      <c r="V127" s="165">
        <v>0</v>
      </c>
      <c r="W127" s="167">
        <f t="shared" si="164"/>
        <v>0</v>
      </c>
      <c r="X127" s="165">
        <v>0</v>
      </c>
      <c r="Y127" s="167">
        <f t="shared" si="165"/>
        <v>0</v>
      </c>
      <c r="Z127" s="165"/>
      <c r="AA127" s="167">
        <f t="shared" si="166"/>
        <v>0</v>
      </c>
      <c r="AB127" s="165">
        <v>0</v>
      </c>
      <c r="AC127" s="167">
        <f t="shared" si="167"/>
        <v>0</v>
      </c>
      <c r="AD127" s="165">
        <v>0</v>
      </c>
      <c r="AE127" s="167">
        <f t="shared" si="168"/>
        <v>0</v>
      </c>
      <c r="AF127" s="165">
        <v>0</v>
      </c>
      <c r="AG127" s="167">
        <f t="shared" si="169"/>
        <v>0</v>
      </c>
      <c r="AH127" s="165">
        <v>0</v>
      </c>
      <c r="AI127" s="167">
        <f t="shared" si="170"/>
        <v>0</v>
      </c>
      <c r="AJ127" s="165">
        <v>0</v>
      </c>
      <c r="AK127" s="167">
        <f t="shared" si="171"/>
        <v>0</v>
      </c>
      <c r="AL127" s="165">
        <v>0</v>
      </c>
      <c r="AM127" s="134">
        <v>0</v>
      </c>
      <c r="AN127" s="166">
        <v>0</v>
      </c>
      <c r="AO127" s="153">
        <v>0</v>
      </c>
      <c r="AP127" s="134">
        <f t="shared" si="172"/>
        <v>0</v>
      </c>
      <c r="AQ127" s="166">
        <v>0</v>
      </c>
      <c r="AR127" s="154">
        <v>0</v>
      </c>
      <c r="AS127" s="243">
        <f t="shared" si="173"/>
        <v>0</v>
      </c>
      <c r="AT127" s="165">
        <v>0</v>
      </c>
      <c r="AU127" s="292">
        <v>0</v>
      </c>
      <c r="AV127" s="101"/>
      <c r="AW127" s="234">
        <v>0</v>
      </c>
      <c r="AX127" s="234">
        <v>0</v>
      </c>
      <c r="AY127" s="233">
        <f t="shared" si="174"/>
        <v>0</v>
      </c>
      <c r="AZ127" s="101"/>
      <c r="BA127" s="103">
        <f>141310.9+41967.4</f>
        <v>183278.3</v>
      </c>
    </row>
    <row r="128" spans="1:53" s="102" customFormat="1" ht="38.25">
      <c r="A128" s="256"/>
      <c r="B128" s="256"/>
      <c r="C128" s="256"/>
      <c r="D128" s="256"/>
      <c r="E128" s="256"/>
      <c r="F128" s="145" t="s">
        <v>44</v>
      </c>
      <c r="G128" s="179">
        <v>1470500</v>
      </c>
      <c r="H128" s="179">
        <v>1470500</v>
      </c>
      <c r="I128" s="180">
        <v>1471819</v>
      </c>
      <c r="J128" s="180">
        <v>1576500</v>
      </c>
      <c r="K128" s="180">
        <v>1576500</v>
      </c>
      <c r="L128" s="165">
        <v>1576500</v>
      </c>
      <c r="M128" s="165">
        <v>1576500</v>
      </c>
      <c r="N128" s="165">
        <v>1576500</v>
      </c>
      <c r="O128" s="180">
        <v>1576500</v>
      </c>
      <c r="P128" s="165">
        <v>1571819</v>
      </c>
      <c r="Q128" s="165">
        <v>1571819</v>
      </c>
      <c r="R128" s="165">
        <v>1571819</v>
      </c>
      <c r="S128" s="166">
        <v>1471819</v>
      </c>
      <c r="T128" s="165">
        <v>0</v>
      </c>
      <c r="U128" s="167">
        <f>SUM(T128/G128*100)</f>
        <v>0</v>
      </c>
      <c r="V128" s="165">
        <v>0</v>
      </c>
      <c r="W128" s="167">
        <f t="shared" si="164"/>
        <v>0</v>
      </c>
      <c r="X128" s="165">
        <v>107128.6</v>
      </c>
      <c r="Y128" s="167">
        <f t="shared" si="165"/>
        <v>6.79534411671424</v>
      </c>
      <c r="Z128" s="165">
        <v>166635.1</v>
      </c>
      <c r="AA128" s="167">
        <f t="shared" si="166"/>
        <v>10.569939739930225</v>
      </c>
      <c r="AB128" s="165">
        <v>200572.4</v>
      </c>
      <c r="AC128" s="167">
        <f t="shared" si="167"/>
        <v>12.722638756739613</v>
      </c>
      <c r="AD128" s="165">
        <v>311389.9</v>
      </c>
      <c r="AE128" s="167">
        <f t="shared" si="168"/>
        <v>19.75197589597209</v>
      </c>
      <c r="AF128" s="165">
        <v>405932.2</v>
      </c>
      <c r="AG128" s="167">
        <f t="shared" si="169"/>
        <v>25.74895020615287</v>
      </c>
      <c r="AH128" s="165">
        <v>486385.3</v>
      </c>
      <c r="AI128" s="167">
        <f t="shared" si="170"/>
        <v>30.852223279416428</v>
      </c>
      <c r="AJ128" s="165">
        <v>500979.8999999999</v>
      </c>
      <c r="AK128" s="167">
        <f t="shared" si="171"/>
        <v>31.872620193546453</v>
      </c>
      <c r="AL128" s="165">
        <v>808749.6</v>
      </c>
      <c r="AM128" s="134">
        <f>AL128/Q128*100</f>
        <v>51.45309987982076</v>
      </c>
      <c r="AN128" s="166">
        <v>902846</v>
      </c>
      <c r="AO128" s="153">
        <f>AN128/I128*100</f>
        <v>61.34218949476804</v>
      </c>
      <c r="AP128" s="134">
        <f t="shared" si="172"/>
        <v>57.439565242562914</v>
      </c>
      <c r="AQ128" s="166">
        <v>969747.05</v>
      </c>
      <c r="AR128" s="154">
        <f>AQ128/I128*100</f>
        <v>65.88765670235267</v>
      </c>
      <c r="AS128" s="243">
        <f t="shared" si="173"/>
        <v>65.88765670235267</v>
      </c>
      <c r="AT128" s="165">
        <v>1571819</v>
      </c>
      <c r="AU128" s="129">
        <f>AT128*100/I128</f>
        <v>106.7943137029757</v>
      </c>
      <c r="AV128" s="101"/>
      <c r="AW128" s="234">
        <v>116710.1</v>
      </c>
      <c r="AX128" s="234">
        <v>94096.4</v>
      </c>
      <c r="AY128" s="233">
        <f t="shared" si="174"/>
        <v>80.62404196380604</v>
      </c>
      <c r="AZ128" s="101"/>
      <c r="BA128" s="103"/>
    </row>
    <row r="129" spans="1:53" s="102" customFormat="1" ht="409.5">
      <c r="A129" s="124" t="s">
        <v>4</v>
      </c>
      <c r="B129" s="186">
        <v>17</v>
      </c>
      <c r="C129" s="187" t="s">
        <v>72</v>
      </c>
      <c r="D129" s="124" t="s">
        <v>199</v>
      </c>
      <c r="E129" s="124" t="s">
        <v>36</v>
      </c>
      <c r="F129" s="128" t="s">
        <v>26</v>
      </c>
      <c r="G129" s="149">
        <f aca="true" t="shared" si="175" ref="G129:M129">SUM(G131:G135)</f>
        <v>563869.3</v>
      </c>
      <c r="H129" s="149">
        <f t="shared" si="175"/>
        <v>563869.3</v>
      </c>
      <c r="I129" s="149">
        <f t="shared" si="175"/>
        <v>561492.5</v>
      </c>
      <c r="J129" s="149">
        <f t="shared" si="175"/>
        <v>563869.3</v>
      </c>
      <c r="K129" s="149">
        <f t="shared" si="175"/>
        <v>563869.3</v>
      </c>
      <c r="L129" s="149">
        <f t="shared" si="175"/>
        <v>563869.3</v>
      </c>
      <c r="M129" s="149">
        <f t="shared" si="175"/>
        <v>571369.3</v>
      </c>
      <c r="N129" s="188">
        <f>M129</f>
        <v>571369.3</v>
      </c>
      <c r="O129" s="149">
        <f aca="true" t="shared" si="176" ref="O129:T129">SUM(O131:O135)</f>
        <v>571369.3</v>
      </c>
      <c r="P129" s="149">
        <f t="shared" si="176"/>
        <v>571369.3</v>
      </c>
      <c r="Q129" s="149">
        <f t="shared" si="176"/>
        <v>571369.3</v>
      </c>
      <c r="R129" s="149">
        <f t="shared" si="176"/>
        <v>571369.3</v>
      </c>
      <c r="S129" s="152">
        <f t="shared" si="176"/>
        <v>571369.3</v>
      </c>
      <c r="T129" s="149">
        <f t="shared" si="176"/>
        <v>9660.6</v>
      </c>
      <c r="U129" s="150">
        <f>SUM(T129/G129*100)</f>
        <v>1.7132693693378942</v>
      </c>
      <c r="V129" s="149">
        <f>SUM(V131:V135)</f>
        <v>60160.8</v>
      </c>
      <c r="W129" s="150">
        <f t="shared" si="164"/>
        <v>10.669280984086205</v>
      </c>
      <c r="X129" s="149">
        <f>SUM(X131:X135)</f>
        <v>119656.53</v>
      </c>
      <c r="Y129" s="150">
        <f t="shared" si="165"/>
        <v>21.220614422526637</v>
      </c>
      <c r="Z129" s="149">
        <f>SUM(Z131:Z135)</f>
        <v>148461</v>
      </c>
      <c r="AA129" s="150">
        <f t="shared" si="166"/>
        <v>26.328973753314816</v>
      </c>
      <c r="AB129" s="149">
        <f>SUM(AB131:AB135)</f>
        <v>172277.9</v>
      </c>
      <c r="AC129" s="150">
        <f t="shared" si="167"/>
        <v>30.552807184218043</v>
      </c>
      <c r="AD129" s="149">
        <f>SUM(AD131:AD135)</f>
        <v>222566.2</v>
      </c>
      <c r="AE129" s="150">
        <f t="shared" si="168"/>
        <v>38.95312541293345</v>
      </c>
      <c r="AF129" s="149">
        <f>SUM(AF131:AF135)</f>
        <v>297728.8</v>
      </c>
      <c r="AG129" s="150">
        <f t="shared" si="169"/>
        <v>52.10794489658439</v>
      </c>
      <c r="AH129" s="149">
        <f>SUM(AH131:AH135)</f>
        <v>324636.10000000003</v>
      </c>
      <c r="AI129" s="150">
        <f t="shared" si="170"/>
        <v>56.817210865197</v>
      </c>
      <c r="AJ129" s="149">
        <f>SUM(AJ131:AJ135)</f>
        <v>334675.30000000005</v>
      </c>
      <c r="AK129" s="150">
        <f t="shared" si="171"/>
        <v>58.57425311440429</v>
      </c>
      <c r="AL129" s="149">
        <f>SUM(AL131:AL135)</f>
        <v>370226.2</v>
      </c>
      <c r="AM129" s="150">
        <f>IF(Q129=0,0,AL129*100/Q129)</f>
        <v>64.79630599683952</v>
      </c>
      <c r="AN129" s="152">
        <f>SUM(AN131:AN135)</f>
        <v>385796.7</v>
      </c>
      <c r="AO129" s="153">
        <f>AN129/I129*100</f>
        <v>68.70914571432388</v>
      </c>
      <c r="AP129" s="150">
        <f t="shared" si="172"/>
        <v>67.52142615992844</v>
      </c>
      <c r="AQ129" s="152">
        <f>SUM(AQ131:AQ135)</f>
        <v>559586.6</v>
      </c>
      <c r="AR129" s="154">
        <f>AQ129/I129*100</f>
        <v>99.6605653681928</v>
      </c>
      <c r="AS129" s="189">
        <f t="shared" si="173"/>
        <v>97.93781359971562</v>
      </c>
      <c r="AT129" s="190">
        <f>SUM(AT131:AT135)</f>
        <v>561492.5</v>
      </c>
      <c r="AU129" s="129">
        <f>AT129*100/I129</f>
        <v>100</v>
      </c>
      <c r="AV129" s="213" t="s">
        <v>212</v>
      </c>
      <c r="AW129" s="149">
        <f>SUM(AW131:AW135)</f>
        <v>157133.5</v>
      </c>
      <c r="AX129" s="149">
        <f>SUM(AX131:AX135)</f>
        <v>156911</v>
      </c>
      <c r="AY129" s="149">
        <f t="shared" si="174"/>
        <v>99.85840065931198</v>
      </c>
      <c r="AZ129" s="131"/>
      <c r="BA129" s="103"/>
    </row>
    <row r="130" spans="1:53" s="102" customFormat="1" ht="25.5">
      <c r="A130" s="256"/>
      <c r="B130" s="256"/>
      <c r="C130" s="256"/>
      <c r="D130" s="256"/>
      <c r="E130" s="256"/>
      <c r="F130" s="136" t="s">
        <v>29</v>
      </c>
      <c r="G130" s="137"/>
      <c r="H130" s="137"/>
      <c r="I130" s="137"/>
      <c r="J130" s="137"/>
      <c r="K130" s="137"/>
      <c r="L130" s="137"/>
      <c r="M130" s="137"/>
      <c r="N130" s="137"/>
      <c r="O130" s="137"/>
      <c r="P130" s="137"/>
      <c r="Q130" s="137"/>
      <c r="R130" s="137"/>
      <c r="S130" s="139"/>
      <c r="T130" s="137"/>
      <c r="U130" s="137"/>
      <c r="V130" s="137"/>
      <c r="W130" s="137"/>
      <c r="X130" s="137"/>
      <c r="Y130" s="137"/>
      <c r="Z130" s="137"/>
      <c r="AA130" s="137"/>
      <c r="AB130" s="137"/>
      <c r="AC130" s="137"/>
      <c r="AD130" s="137"/>
      <c r="AE130" s="138"/>
      <c r="AF130" s="137"/>
      <c r="AG130" s="137"/>
      <c r="AH130" s="137"/>
      <c r="AI130" s="137"/>
      <c r="AJ130" s="137"/>
      <c r="AK130" s="137"/>
      <c r="AL130" s="137"/>
      <c r="AM130" s="137"/>
      <c r="AN130" s="139"/>
      <c r="AO130" s="138"/>
      <c r="AP130" s="137"/>
      <c r="AQ130" s="139"/>
      <c r="AR130" s="140"/>
      <c r="AS130" s="139"/>
      <c r="AT130" s="142"/>
      <c r="AU130" s="143"/>
      <c r="AV130" s="101"/>
      <c r="AW130" s="194"/>
      <c r="AX130" s="142"/>
      <c r="AY130" s="193"/>
      <c r="AZ130" s="101"/>
      <c r="BA130" s="103"/>
    </row>
    <row r="131" spans="1:53" s="102" customFormat="1" ht="38.25">
      <c r="A131" s="256"/>
      <c r="B131" s="256"/>
      <c r="C131" s="256"/>
      <c r="D131" s="256"/>
      <c r="E131" s="256"/>
      <c r="F131" s="144" t="s">
        <v>27</v>
      </c>
      <c r="G131" s="179">
        <v>0</v>
      </c>
      <c r="H131" s="179">
        <v>0</v>
      </c>
      <c r="I131" s="180">
        <v>7500</v>
      </c>
      <c r="J131" s="180">
        <v>0</v>
      </c>
      <c r="K131" s="180">
        <v>0</v>
      </c>
      <c r="L131" s="197">
        <v>0</v>
      </c>
      <c r="M131" s="197">
        <v>7500</v>
      </c>
      <c r="N131" s="197">
        <f aca="true" t="shared" si="177" ref="N131:O135">M131</f>
        <v>7500</v>
      </c>
      <c r="O131" s="180">
        <f t="shared" si="177"/>
        <v>7500</v>
      </c>
      <c r="P131" s="197">
        <v>7500</v>
      </c>
      <c r="Q131" s="197">
        <v>7500</v>
      </c>
      <c r="R131" s="197">
        <v>7500</v>
      </c>
      <c r="S131" s="198">
        <v>7500</v>
      </c>
      <c r="T131" s="197">
        <v>0</v>
      </c>
      <c r="U131" s="167">
        <v>0</v>
      </c>
      <c r="V131" s="197">
        <v>0</v>
      </c>
      <c r="W131" s="167">
        <f>IF(H131=0,0,V131*100/H131)</f>
        <v>0</v>
      </c>
      <c r="X131" s="197">
        <v>0</v>
      </c>
      <c r="Y131" s="167">
        <f>IF(J131=0,0,X131*100/J131)</f>
        <v>0</v>
      </c>
      <c r="Z131" s="197">
        <v>0</v>
      </c>
      <c r="AA131" s="167">
        <f>IF(K131=0,0,Z131*100/K131)</f>
        <v>0</v>
      </c>
      <c r="AB131" s="197">
        <v>0</v>
      </c>
      <c r="AC131" s="167">
        <f>IF(L131=0,0,AB131*100/L131)</f>
        <v>0</v>
      </c>
      <c r="AD131" s="197">
        <v>0</v>
      </c>
      <c r="AE131" s="167">
        <f>IF(O131=0,0,AD131*100/O131)</f>
        <v>0</v>
      </c>
      <c r="AF131" s="197">
        <v>0</v>
      </c>
      <c r="AG131" s="167">
        <f>IF(N131=0,0,AF131*100/N131)</f>
        <v>0</v>
      </c>
      <c r="AH131" s="197">
        <v>6684.9</v>
      </c>
      <c r="AI131" s="167">
        <f>IF(O131=0,0,AH131*100/O131)</f>
        <v>89.132</v>
      </c>
      <c r="AJ131" s="197">
        <v>6684.9</v>
      </c>
      <c r="AK131" s="167">
        <f aca="true" t="shared" si="178" ref="AK131:AK136">IF(P131=0,0,AJ131*100/P131)</f>
        <v>89.132</v>
      </c>
      <c r="AL131" s="197">
        <v>6684.9</v>
      </c>
      <c r="AM131" s="134">
        <f aca="true" t="shared" si="179" ref="AM131:AM136">IF(Q131=0,0,AL131*100/Q131)</f>
        <v>89.132</v>
      </c>
      <c r="AN131" s="198">
        <v>6684.9</v>
      </c>
      <c r="AO131" s="153">
        <f>AN131/I131*100</f>
        <v>89.132</v>
      </c>
      <c r="AP131" s="134">
        <f aca="true" t="shared" si="180" ref="AP131:AP136">IF(R131=0,0,AN131*100/R131)</f>
        <v>89.132</v>
      </c>
      <c r="AQ131" s="198">
        <v>7500</v>
      </c>
      <c r="AR131" s="154">
        <f>AQ131/I131*100</f>
        <v>100</v>
      </c>
      <c r="AS131" s="243">
        <f aca="true" t="shared" si="181" ref="AS131:AS136">IF(S131=0,0,AQ131*100/S131)</f>
        <v>100</v>
      </c>
      <c r="AT131" s="197">
        <v>7500</v>
      </c>
      <c r="AU131" s="129">
        <f>AT131*100/I131</f>
        <v>100</v>
      </c>
      <c r="AV131" s="101"/>
      <c r="AW131" s="180">
        <v>815.1</v>
      </c>
      <c r="AX131" s="180">
        <v>815.1</v>
      </c>
      <c r="AY131" s="167">
        <f aca="true" t="shared" si="182" ref="AY131:AY136">IF(AW131=0,0,AX131*100/AW131)</f>
        <v>100</v>
      </c>
      <c r="AZ131" s="101"/>
      <c r="BA131" s="103"/>
    </row>
    <row r="132" spans="1:53" s="102" customFormat="1" ht="51">
      <c r="A132" s="256"/>
      <c r="B132" s="256"/>
      <c r="C132" s="256"/>
      <c r="D132" s="256"/>
      <c r="E132" s="256"/>
      <c r="F132" s="145" t="s">
        <v>30</v>
      </c>
      <c r="G132" s="179">
        <v>563869.3</v>
      </c>
      <c r="H132" s="179">
        <v>563869.3</v>
      </c>
      <c r="I132" s="180">
        <v>553992.5</v>
      </c>
      <c r="J132" s="180">
        <v>563869.3</v>
      </c>
      <c r="K132" s="180">
        <v>563869.3</v>
      </c>
      <c r="L132" s="180">
        <v>563869.3</v>
      </c>
      <c r="M132" s="180">
        <v>563869.3</v>
      </c>
      <c r="N132" s="197">
        <f t="shared" si="177"/>
        <v>563869.3</v>
      </c>
      <c r="O132" s="130">
        <f t="shared" si="177"/>
        <v>563869.3</v>
      </c>
      <c r="P132" s="165">
        <v>563869.3</v>
      </c>
      <c r="Q132" s="165">
        <v>563869.3</v>
      </c>
      <c r="R132" s="165">
        <v>563869.3</v>
      </c>
      <c r="S132" s="166">
        <v>563869.3</v>
      </c>
      <c r="T132" s="165">
        <v>9660.6</v>
      </c>
      <c r="U132" s="167">
        <f>SUM(T132/G132*100)</f>
        <v>1.7132693693378942</v>
      </c>
      <c r="V132" s="165">
        <v>60160.8</v>
      </c>
      <c r="W132" s="167">
        <f>IF(H132=0,0,V132*100/H132)</f>
        <v>10.669280984086205</v>
      </c>
      <c r="X132" s="165">
        <v>119656.53</v>
      </c>
      <c r="Y132" s="167">
        <f>IF(J132=0,0,X132*100/J132)</f>
        <v>21.220614422526637</v>
      </c>
      <c r="Z132" s="165">
        <v>148461</v>
      </c>
      <c r="AA132" s="167">
        <f>IF(K132=0,0,Z132*100/K132)</f>
        <v>26.328973753314816</v>
      </c>
      <c r="AB132" s="235">
        <v>172277.9</v>
      </c>
      <c r="AC132" s="167">
        <f>IF(L132=0,0,AB132*100/L132)</f>
        <v>30.552807184218043</v>
      </c>
      <c r="AD132" s="235">
        <v>222566.2</v>
      </c>
      <c r="AE132" s="167">
        <f>IF(O132=0,0,AD132*100/O132)</f>
        <v>39.47123916836756</v>
      </c>
      <c r="AF132" s="165">
        <v>297728.8</v>
      </c>
      <c r="AG132" s="167">
        <f>IF(N132=0,0,AF132*100/N132)</f>
        <v>52.80103030968346</v>
      </c>
      <c r="AH132" s="165">
        <v>317951.2</v>
      </c>
      <c r="AI132" s="167">
        <f>IF(O132=0,0,AH132*100/O132)</f>
        <v>56.387393319693054</v>
      </c>
      <c r="AJ132" s="165">
        <v>327990.4</v>
      </c>
      <c r="AK132" s="167">
        <f t="shared" si="178"/>
        <v>58.167805908213126</v>
      </c>
      <c r="AL132" s="165">
        <v>363541.3</v>
      </c>
      <c r="AM132" s="134">
        <f t="shared" si="179"/>
        <v>64.47261803400184</v>
      </c>
      <c r="AN132" s="166">
        <v>379111.8</v>
      </c>
      <c r="AO132" s="153">
        <f>AN132/I132*100</f>
        <v>68.4326592869037</v>
      </c>
      <c r="AP132" s="134">
        <f t="shared" si="180"/>
        <v>67.23398489685464</v>
      </c>
      <c r="AQ132" s="166">
        <v>552086.6</v>
      </c>
      <c r="AR132" s="154">
        <f>AQ132/I132*100</f>
        <v>99.655970071797</v>
      </c>
      <c r="AS132" s="243">
        <f t="shared" si="181"/>
        <v>97.91038455188108</v>
      </c>
      <c r="AT132" s="165">
        <v>553992.5</v>
      </c>
      <c r="AU132" s="129">
        <f>AT132*100/I132</f>
        <v>100</v>
      </c>
      <c r="AV132" s="101"/>
      <c r="AW132" s="130">
        <v>156318.4</v>
      </c>
      <c r="AX132" s="130">
        <v>156095.9</v>
      </c>
      <c r="AY132" s="167">
        <f t="shared" si="182"/>
        <v>99.85766230974728</v>
      </c>
      <c r="AZ132" s="101"/>
      <c r="BA132" s="103"/>
    </row>
    <row r="133" spans="1:53" s="102" customFormat="1" ht="63.75">
      <c r="A133" s="256"/>
      <c r="B133" s="256"/>
      <c r="C133" s="256"/>
      <c r="D133" s="256"/>
      <c r="E133" s="256"/>
      <c r="F133" s="145" t="s">
        <v>38</v>
      </c>
      <c r="G133" s="179">
        <v>0</v>
      </c>
      <c r="H133" s="179">
        <v>0</v>
      </c>
      <c r="I133" s="180">
        <v>0</v>
      </c>
      <c r="J133" s="180">
        <v>0</v>
      </c>
      <c r="K133" s="180">
        <v>0</v>
      </c>
      <c r="L133" s="165">
        <v>0</v>
      </c>
      <c r="M133" s="165">
        <v>0</v>
      </c>
      <c r="N133" s="197">
        <f t="shared" si="177"/>
        <v>0</v>
      </c>
      <c r="O133" s="130">
        <f t="shared" si="177"/>
        <v>0</v>
      </c>
      <c r="P133" s="165">
        <v>0</v>
      </c>
      <c r="Q133" s="165">
        <v>0</v>
      </c>
      <c r="R133" s="165">
        <v>0</v>
      </c>
      <c r="S133" s="166">
        <v>0</v>
      </c>
      <c r="T133" s="165">
        <v>0</v>
      </c>
      <c r="U133" s="167">
        <v>0</v>
      </c>
      <c r="V133" s="165">
        <v>0</v>
      </c>
      <c r="W133" s="167">
        <f>IF(H133=0,0,V133*100/H133)</f>
        <v>0</v>
      </c>
      <c r="X133" s="165">
        <v>0</v>
      </c>
      <c r="Y133" s="167">
        <f>IF(J133=0,0,X133*100/J133)</f>
        <v>0</v>
      </c>
      <c r="Z133" s="165">
        <v>0</v>
      </c>
      <c r="AA133" s="167">
        <f>IF(K133=0,0,Z133*100/K133)</f>
        <v>0</v>
      </c>
      <c r="AB133" s="165">
        <v>0</v>
      </c>
      <c r="AC133" s="167">
        <f>IF(L133=0,0,AB133*100/L133)</f>
        <v>0</v>
      </c>
      <c r="AD133" s="165">
        <v>0</v>
      </c>
      <c r="AE133" s="167">
        <f>IF(O133=0,0,AD133*100/O133)</f>
        <v>0</v>
      </c>
      <c r="AF133" s="165">
        <v>0</v>
      </c>
      <c r="AG133" s="167">
        <f>IF(N133=0,0,AF133*100/N133)</f>
        <v>0</v>
      </c>
      <c r="AH133" s="165">
        <v>0</v>
      </c>
      <c r="AI133" s="167">
        <f>IF(O133=0,0,AH133*100/O133)</f>
        <v>0</v>
      </c>
      <c r="AJ133" s="165">
        <v>0</v>
      </c>
      <c r="AK133" s="167">
        <f t="shared" si="178"/>
        <v>0</v>
      </c>
      <c r="AL133" s="165">
        <v>0</v>
      </c>
      <c r="AM133" s="134">
        <f t="shared" si="179"/>
        <v>0</v>
      </c>
      <c r="AN133" s="166">
        <v>0</v>
      </c>
      <c r="AO133" s="153">
        <v>0</v>
      </c>
      <c r="AP133" s="134">
        <f t="shared" si="180"/>
        <v>0</v>
      </c>
      <c r="AQ133" s="166">
        <v>0</v>
      </c>
      <c r="AR133" s="154">
        <v>0</v>
      </c>
      <c r="AS133" s="243">
        <f t="shared" si="181"/>
        <v>0</v>
      </c>
      <c r="AT133" s="165">
        <v>0</v>
      </c>
      <c r="AU133" s="292">
        <v>0</v>
      </c>
      <c r="AV133" s="101"/>
      <c r="AW133" s="130">
        <v>0</v>
      </c>
      <c r="AX133" s="130">
        <v>0</v>
      </c>
      <c r="AY133" s="167">
        <f t="shared" si="182"/>
        <v>0</v>
      </c>
      <c r="AZ133" s="101"/>
      <c r="BA133" s="103"/>
    </row>
    <row r="134" spans="1:53" s="102" customFormat="1" ht="51">
      <c r="A134" s="256"/>
      <c r="B134" s="256"/>
      <c r="C134" s="256"/>
      <c r="D134" s="256"/>
      <c r="E134" s="256"/>
      <c r="F134" s="145" t="s">
        <v>23</v>
      </c>
      <c r="G134" s="179">
        <v>0</v>
      </c>
      <c r="H134" s="179">
        <v>0</v>
      </c>
      <c r="I134" s="180">
        <v>0</v>
      </c>
      <c r="J134" s="180">
        <v>0</v>
      </c>
      <c r="K134" s="180">
        <v>0</v>
      </c>
      <c r="L134" s="165">
        <v>0</v>
      </c>
      <c r="M134" s="165">
        <v>0</v>
      </c>
      <c r="N134" s="197">
        <f t="shared" si="177"/>
        <v>0</v>
      </c>
      <c r="O134" s="130">
        <f t="shared" si="177"/>
        <v>0</v>
      </c>
      <c r="P134" s="165">
        <v>0</v>
      </c>
      <c r="Q134" s="165">
        <v>0</v>
      </c>
      <c r="R134" s="165">
        <v>0</v>
      </c>
      <c r="S134" s="166">
        <v>0</v>
      </c>
      <c r="T134" s="165">
        <v>0</v>
      </c>
      <c r="U134" s="167">
        <v>0</v>
      </c>
      <c r="V134" s="165">
        <v>0</v>
      </c>
      <c r="W134" s="167">
        <f>IF(H134=0,0,V134*100/H134)</f>
        <v>0</v>
      </c>
      <c r="X134" s="165">
        <v>0</v>
      </c>
      <c r="Y134" s="167">
        <f>IF(J134=0,0,X134*100/J134)</f>
        <v>0</v>
      </c>
      <c r="Z134" s="165">
        <v>0</v>
      </c>
      <c r="AA134" s="167">
        <f>IF(K134=0,0,Z134*100/K134)</f>
        <v>0</v>
      </c>
      <c r="AB134" s="165">
        <v>0</v>
      </c>
      <c r="AC134" s="167">
        <f>IF(L134=0,0,AB134*100/L134)</f>
        <v>0</v>
      </c>
      <c r="AD134" s="165">
        <v>0</v>
      </c>
      <c r="AE134" s="167">
        <f>IF(O134=0,0,AD134*100/O134)</f>
        <v>0</v>
      </c>
      <c r="AF134" s="165">
        <v>0</v>
      </c>
      <c r="AG134" s="167">
        <f>IF(N134=0,0,AF134*100/N134)</f>
        <v>0</v>
      </c>
      <c r="AH134" s="165">
        <v>0</v>
      </c>
      <c r="AI134" s="167">
        <f>IF(O134=0,0,AH134*100/O134)</f>
        <v>0</v>
      </c>
      <c r="AJ134" s="165">
        <v>0</v>
      </c>
      <c r="AK134" s="167">
        <f t="shared" si="178"/>
        <v>0</v>
      </c>
      <c r="AL134" s="165">
        <v>0</v>
      </c>
      <c r="AM134" s="134">
        <f t="shared" si="179"/>
        <v>0</v>
      </c>
      <c r="AN134" s="166">
        <v>0</v>
      </c>
      <c r="AO134" s="153">
        <v>0</v>
      </c>
      <c r="AP134" s="134">
        <f t="shared" si="180"/>
        <v>0</v>
      </c>
      <c r="AQ134" s="166">
        <v>0</v>
      </c>
      <c r="AR134" s="154">
        <v>0</v>
      </c>
      <c r="AS134" s="243">
        <f t="shared" si="181"/>
        <v>0</v>
      </c>
      <c r="AT134" s="165">
        <v>0</v>
      </c>
      <c r="AU134" s="292">
        <v>0</v>
      </c>
      <c r="AV134" s="101"/>
      <c r="AW134" s="130">
        <v>0</v>
      </c>
      <c r="AX134" s="130">
        <v>0</v>
      </c>
      <c r="AY134" s="167">
        <f t="shared" si="182"/>
        <v>0</v>
      </c>
      <c r="AZ134" s="101"/>
      <c r="BA134" s="103"/>
    </row>
    <row r="135" spans="1:53" s="102" customFormat="1" ht="38.25">
      <c r="A135" s="256"/>
      <c r="B135" s="256"/>
      <c r="C135" s="256"/>
      <c r="D135" s="256"/>
      <c r="E135" s="256"/>
      <c r="F135" s="145" t="s">
        <v>44</v>
      </c>
      <c r="G135" s="179">
        <v>0</v>
      </c>
      <c r="H135" s="179">
        <v>0</v>
      </c>
      <c r="I135" s="180">
        <v>0</v>
      </c>
      <c r="J135" s="180">
        <v>0</v>
      </c>
      <c r="K135" s="180">
        <v>0</v>
      </c>
      <c r="L135" s="165">
        <v>0</v>
      </c>
      <c r="M135" s="165">
        <v>0</v>
      </c>
      <c r="N135" s="197">
        <f t="shared" si="177"/>
        <v>0</v>
      </c>
      <c r="O135" s="130">
        <f t="shared" si="177"/>
        <v>0</v>
      </c>
      <c r="P135" s="165">
        <v>0</v>
      </c>
      <c r="Q135" s="165">
        <v>0</v>
      </c>
      <c r="R135" s="165">
        <v>0</v>
      </c>
      <c r="S135" s="166">
        <v>0</v>
      </c>
      <c r="T135" s="165">
        <v>0</v>
      </c>
      <c r="U135" s="167">
        <v>0</v>
      </c>
      <c r="V135" s="165">
        <v>0</v>
      </c>
      <c r="W135" s="167">
        <f>IF(H135=0,0,V135*100/H135)</f>
        <v>0</v>
      </c>
      <c r="X135" s="165">
        <v>0</v>
      </c>
      <c r="Y135" s="167">
        <f>IF(J135=0,0,X135*100/J135)</f>
        <v>0</v>
      </c>
      <c r="Z135" s="165">
        <v>0</v>
      </c>
      <c r="AA135" s="167">
        <f>IF(K135=0,0,Z135*100/K135)</f>
        <v>0</v>
      </c>
      <c r="AB135" s="165">
        <v>0</v>
      </c>
      <c r="AC135" s="167">
        <f>IF(L135=0,0,AB135*100/L135)</f>
        <v>0</v>
      </c>
      <c r="AD135" s="165">
        <v>0</v>
      </c>
      <c r="AE135" s="167">
        <f>IF(O135=0,0,AD135*100/O135)</f>
        <v>0</v>
      </c>
      <c r="AF135" s="165">
        <v>0</v>
      </c>
      <c r="AG135" s="167">
        <f>IF(N135=0,0,AF135*100/N135)</f>
        <v>0</v>
      </c>
      <c r="AH135" s="165">
        <v>0</v>
      </c>
      <c r="AI135" s="167">
        <f>IF(O135=0,0,AH135*100/O135)</f>
        <v>0</v>
      </c>
      <c r="AJ135" s="165">
        <v>0</v>
      </c>
      <c r="AK135" s="167">
        <f t="shared" si="178"/>
        <v>0</v>
      </c>
      <c r="AL135" s="165">
        <v>0</v>
      </c>
      <c r="AM135" s="134">
        <f t="shared" si="179"/>
        <v>0</v>
      </c>
      <c r="AN135" s="166">
        <v>0</v>
      </c>
      <c r="AO135" s="153">
        <v>0</v>
      </c>
      <c r="AP135" s="134">
        <f t="shared" si="180"/>
        <v>0</v>
      </c>
      <c r="AQ135" s="166">
        <v>0</v>
      </c>
      <c r="AR135" s="154">
        <v>0</v>
      </c>
      <c r="AS135" s="243">
        <f t="shared" si="181"/>
        <v>0</v>
      </c>
      <c r="AT135" s="165">
        <v>0</v>
      </c>
      <c r="AU135" s="143">
        <v>0</v>
      </c>
      <c r="AV135" s="101"/>
      <c r="AW135" s="130">
        <v>0</v>
      </c>
      <c r="AX135" s="130">
        <v>0</v>
      </c>
      <c r="AY135" s="167">
        <f t="shared" si="182"/>
        <v>0</v>
      </c>
      <c r="AZ135" s="101"/>
      <c r="BA135" s="103"/>
    </row>
    <row r="136" spans="1:53" s="102" customFormat="1" ht="409.5">
      <c r="A136" s="124" t="s">
        <v>4</v>
      </c>
      <c r="B136" s="109">
        <v>18</v>
      </c>
      <c r="C136" s="236" t="s">
        <v>54</v>
      </c>
      <c r="D136" s="109" t="s">
        <v>197</v>
      </c>
      <c r="E136" s="109" t="s">
        <v>12</v>
      </c>
      <c r="F136" s="128" t="s">
        <v>26</v>
      </c>
      <c r="G136" s="149">
        <f>G138+G139+G141+G142+G143</f>
        <v>15664341.1</v>
      </c>
      <c r="H136" s="149">
        <f>H138+H139+H141+H142+H143</f>
        <v>15664341.1</v>
      </c>
      <c r="I136" s="149">
        <f aca="true" t="shared" si="183" ref="I136:S136">I138+I139+I140+I141+I142+I143</f>
        <v>14568809.399999999</v>
      </c>
      <c r="J136" s="149">
        <f t="shared" si="183"/>
        <v>15980010.899999999</v>
      </c>
      <c r="K136" s="149">
        <f t="shared" si="183"/>
        <v>15980010.899999999</v>
      </c>
      <c r="L136" s="149">
        <f t="shared" si="183"/>
        <v>15980010.899999999</v>
      </c>
      <c r="M136" s="149">
        <f t="shared" si="183"/>
        <v>14275432.6</v>
      </c>
      <c r="N136" s="149">
        <f t="shared" si="183"/>
        <v>14275432.6</v>
      </c>
      <c r="O136" s="149">
        <f t="shared" si="183"/>
        <v>14275432.6</v>
      </c>
      <c r="P136" s="149">
        <f t="shared" si="183"/>
        <v>14515008.6</v>
      </c>
      <c r="Q136" s="149">
        <f t="shared" si="183"/>
        <v>14515008.6</v>
      </c>
      <c r="R136" s="149">
        <f t="shared" si="183"/>
        <v>14351902.3</v>
      </c>
      <c r="S136" s="152">
        <f t="shared" si="183"/>
        <v>14430095.899999999</v>
      </c>
      <c r="T136" s="149">
        <f aca="true" t="shared" si="184" ref="T136:AJ136">T138+T139+T141+T142+T143</f>
        <v>2372094.8</v>
      </c>
      <c r="U136" s="149">
        <f t="shared" si="184"/>
        <v>2137582.297196151</v>
      </c>
      <c r="V136" s="149">
        <f t="shared" si="184"/>
        <v>3100515.9</v>
      </c>
      <c r="W136" s="149">
        <f t="shared" si="184"/>
        <v>2137591.9096173802</v>
      </c>
      <c r="X136" s="149">
        <f t="shared" si="184"/>
        <v>3971029.43</v>
      </c>
      <c r="Y136" s="149">
        <f t="shared" si="184"/>
        <v>2137605.7991116955</v>
      </c>
      <c r="Z136" s="149">
        <f t="shared" si="184"/>
        <v>4687574.8</v>
      </c>
      <c r="AA136" s="149">
        <f t="shared" si="184"/>
        <v>2137624.2580361613</v>
      </c>
      <c r="AB136" s="149">
        <f t="shared" si="184"/>
        <v>5443042.5</v>
      </c>
      <c r="AC136" s="149">
        <f t="shared" si="184"/>
        <v>2137633.8300479036</v>
      </c>
      <c r="AD136" s="149">
        <f t="shared" si="184"/>
        <v>5958507.24</v>
      </c>
      <c r="AE136" s="149">
        <f t="shared" si="184"/>
        <v>2137646.3202227107</v>
      </c>
      <c r="AF136" s="149">
        <f t="shared" si="184"/>
        <v>7168272.58</v>
      </c>
      <c r="AG136" s="149">
        <f t="shared" si="184"/>
        <v>2137676.7246708223</v>
      </c>
      <c r="AH136" s="149">
        <f t="shared" si="184"/>
        <v>8213700.2</v>
      </c>
      <c r="AI136" s="149">
        <f t="shared" si="184"/>
        <v>2137713.807324461</v>
      </c>
      <c r="AJ136" s="149">
        <f t="shared" si="184"/>
        <v>7343744.9</v>
      </c>
      <c r="AK136" s="150">
        <f t="shared" si="178"/>
        <v>50.594147770604835</v>
      </c>
      <c r="AL136" s="149">
        <f>AL138+AL139+AL141+AL142+AL143</f>
        <v>9300154.8</v>
      </c>
      <c r="AM136" s="150">
        <f t="shared" si="179"/>
        <v>64.07267853771717</v>
      </c>
      <c r="AN136" s="152">
        <f>SUM(AN138:AN143)</f>
        <v>11093823.649999999</v>
      </c>
      <c r="AO136" s="153">
        <f>AN136/I136*100</f>
        <v>76.14777121046006</v>
      </c>
      <c r="AP136" s="150">
        <f t="shared" si="180"/>
        <v>77.29862855880782</v>
      </c>
      <c r="AQ136" s="152">
        <f>SUM(AQ138:AQ143)</f>
        <v>12519945.600000001</v>
      </c>
      <c r="AR136" s="154">
        <f>AQ136/I136*100</f>
        <v>85.9366421527898</v>
      </c>
      <c r="AS136" s="189">
        <f t="shared" si="181"/>
        <v>86.76273315688778</v>
      </c>
      <c r="AT136" s="190">
        <f>AT139+AT140+AT141+AT142+AT143</f>
        <v>13000935.100000001</v>
      </c>
      <c r="AU136" s="129">
        <f>AT136*100/I136</f>
        <v>89.23814392135574</v>
      </c>
      <c r="AV136" s="213" t="s">
        <v>138</v>
      </c>
      <c r="AW136" s="149">
        <f>SUM(AW138:AW143)</f>
        <v>1763543.92</v>
      </c>
      <c r="AX136" s="149">
        <f>SUM(AX138:AX143)</f>
        <v>1766574.53</v>
      </c>
      <c r="AY136" s="134">
        <f t="shared" si="182"/>
        <v>100.17184771899528</v>
      </c>
      <c r="AZ136" s="214"/>
      <c r="BA136" s="103"/>
    </row>
    <row r="137" spans="1:53" s="102" customFormat="1" ht="25.5">
      <c r="A137" s="256"/>
      <c r="B137" s="256"/>
      <c r="C137" s="256"/>
      <c r="D137" s="256"/>
      <c r="E137" s="256"/>
      <c r="F137" s="136" t="s">
        <v>29</v>
      </c>
      <c r="G137" s="137"/>
      <c r="H137" s="137"/>
      <c r="I137" s="137"/>
      <c r="J137" s="137"/>
      <c r="K137" s="137"/>
      <c r="L137" s="137"/>
      <c r="M137" s="137"/>
      <c r="N137" s="137"/>
      <c r="O137" s="137"/>
      <c r="P137" s="137"/>
      <c r="Q137" s="137"/>
      <c r="R137" s="137"/>
      <c r="S137" s="139"/>
      <c r="T137" s="137"/>
      <c r="U137" s="137"/>
      <c r="V137" s="137"/>
      <c r="W137" s="137"/>
      <c r="X137" s="137"/>
      <c r="Y137" s="137"/>
      <c r="Z137" s="137"/>
      <c r="AA137" s="137"/>
      <c r="AB137" s="137"/>
      <c r="AC137" s="137"/>
      <c r="AD137" s="137"/>
      <c r="AE137" s="138"/>
      <c r="AF137" s="137"/>
      <c r="AG137" s="137"/>
      <c r="AH137" s="137"/>
      <c r="AI137" s="137"/>
      <c r="AJ137" s="137"/>
      <c r="AK137" s="137"/>
      <c r="AL137" s="137"/>
      <c r="AM137" s="137"/>
      <c r="AN137" s="139"/>
      <c r="AO137" s="138"/>
      <c r="AP137" s="137"/>
      <c r="AQ137" s="139"/>
      <c r="AR137" s="140"/>
      <c r="AS137" s="139"/>
      <c r="AT137" s="142"/>
      <c r="AU137" s="143"/>
      <c r="AV137" s="101"/>
      <c r="AW137" s="194"/>
      <c r="AX137" s="142"/>
      <c r="AY137" s="193"/>
      <c r="AZ137" s="101"/>
      <c r="BA137" s="103"/>
    </row>
    <row r="138" spans="1:53" s="102" customFormat="1" ht="38.25">
      <c r="A138" s="256"/>
      <c r="B138" s="256"/>
      <c r="C138" s="256"/>
      <c r="D138" s="256"/>
      <c r="E138" s="256"/>
      <c r="F138" s="144" t="s">
        <v>27</v>
      </c>
      <c r="G138" s="179">
        <v>0</v>
      </c>
      <c r="H138" s="179">
        <v>0</v>
      </c>
      <c r="I138" s="130">
        <v>0</v>
      </c>
      <c r="J138" s="130">
        <v>0</v>
      </c>
      <c r="K138" s="130">
        <v>0</v>
      </c>
      <c r="L138" s="130">
        <v>0</v>
      </c>
      <c r="M138" s="130">
        <v>0</v>
      </c>
      <c r="N138" s="130">
        <v>0</v>
      </c>
      <c r="O138" s="130">
        <f>N138</f>
        <v>0</v>
      </c>
      <c r="P138" s="165">
        <v>0</v>
      </c>
      <c r="Q138" s="165">
        <v>0</v>
      </c>
      <c r="R138" s="165">
        <v>0</v>
      </c>
      <c r="S138" s="166">
        <v>0</v>
      </c>
      <c r="T138" s="165">
        <v>0</v>
      </c>
      <c r="U138" s="164">
        <v>0</v>
      </c>
      <c r="V138" s="165"/>
      <c r="W138" s="164">
        <f>IF(H138=0,0,V138*100/H138)</f>
        <v>0</v>
      </c>
      <c r="X138" s="165">
        <v>0</v>
      </c>
      <c r="Y138" s="164">
        <f>IF(J138=0,0,X138*100/J138)</f>
        <v>0</v>
      </c>
      <c r="Z138" s="165">
        <v>0</v>
      </c>
      <c r="AA138" s="164">
        <f>IF(K138=0,0,Z138*100/K138)</f>
        <v>0</v>
      </c>
      <c r="AB138" s="165">
        <v>0</v>
      </c>
      <c r="AC138" s="164">
        <f>IF(L138=0,0,AB138*100/L138)</f>
        <v>0</v>
      </c>
      <c r="AD138" s="165">
        <v>0</v>
      </c>
      <c r="AE138" s="164">
        <f>IF(O138=0,0,AD138*100/O138)</f>
        <v>0</v>
      </c>
      <c r="AF138" s="165">
        <v>0</v>
      </c>
      <c r="AG138" s="164">
        <f>IF(N138=0,0,AF138*100/N138)</f>
        <v>0</v>
      </c>
      <c r="AH138" s="165">
        <v>0</v>
      </c>
      <c r="AI138" s="164">
        <f>IF(O138=0,0,AH138*100/O138)</f>
        <v>0</v>
      </c>
      <c r="AJ138" s="165">
        <v>0</v>
      </c>
      <c r="AK138" s="164">
        <f aca="true" t="shared" si="185" ref="AK138:AK143">IF(P138=0,0,AJ138*100/P138)</f>
        <v>0</v>
      </c>
      <c r="AL138" s="165">
        <v>0</v>
      </c>
      <c r="AM138" s="153">
        <f aca="true" t="shared" si="186" ref="AM138:AM143">IF(Q138=0,0,AL138*100/Q138)</f>
        <v>0</v>
      </c>
      <c r="AN138" s="166">
        <v>0</v>
      </c>
      <c r="AO138" s="153">
        <v>0</v>
      </c>
      <c r="AP138" s="134">
        <f aca="true" t="shared" si="187" ref="AP138:AP143">IF(R138=0,0,AN138*100/R138)</f>
        <v>0</v>
      </c>
      <c r="AQ138" s="198">
        <v>0</v>
      </c>
      <c r="AR138" s="154">
        <v>0</v>
      </c>
      <c r="AS138" s="243">
        <f aca="true" t="shared" si="188" ref="AS138:AS143">IF(S138=0,0,AQ138*100/S138)</f>
        <v>0</v>
      </c>
      <c r="AT138" s="197">
        <v>0</v>
      </c>
      <c r="AU138" s="292">
        <v>0</v>
      </c>
      <c r="AV138" s="101"/>
      <c r="AW138" s="237">
        <v>0</v>
      </c>
      <c r="AX138" s="237">
        <v>0</v>
      </c>
      <c r="AY138" s="167">
        <f>IF(AW139=0,0,AX138*100/AW139)</f>
        <v>0</v>
      </c>
      <c r="AZ138" s="101"/>
      <c r="BA138" s="103"/>
    </row>
    <row r="139" spans="1:53" s="102" customFormat="1" ht="51">
      <c r="A139" s="256"/>
      <c r="B139" s="256"/>
      <c r="C139" s="256"/>
      <c r="D139" s="256"/>
      <c r="E139" s="256"/>
      <c r="F139" s="226" t="s">
        <v>30</v>
      </c>
      <c r="G139" s="191">
        <v>8020131.5</v>
      </c>
      <c r="H139" s="191">
        <v>8020131.5</v>
      </c>
      <c r="I139" s="130">
        <v>8108983.1</v>
      </c>
      <c r="J139" s="130">
        <v>8084416.6</v>
      </c>
      <c r="K139" s="130">
        <v>8084416.6</v>
      </c>
      <c r="L139" s="130">
        <v>8084416.6</v>
      </c>
      <c r="M139" s="130">
        <v>8084416.6</v>
      </c>
      <c r="N139" s="130">
        <v>8084416.6</v>
      </c>
      <c r="O139" s="130">
        <f>N139</f>
        <v>8084416.6</v>
      </c>
      <c r="P139" s="130">
        <f>O139</f>
        <v>8084416.6</v>
      </c>
      <c r="Q139" s="130">
        <f>P139</f>
        <v>8084416.6</v>
      </c>
      <c r="R139" s="165">
        <v>7844228.7</v>
      </c>
      <c r="S139" s="166">
        <v>7873869.6</v>
      </c>
      <c r="T139" s="165">
        <v>234143.3</v>
      </c>
      <c r="U139" s="164">
        <f>SUM(T139/G139*100)</f>
        <v>2.9194446500035562</v>
      </c>
      <c r="V139" s="238">
        <v>863753.4</v>
      </c>
      <c r="W139" s="164">
        <f>IF(H139=0,0,V139*100/H139)</f>
        <v>10.769815931322324</v>
      </c>
      <c r="X139" s="238">
        <v>1464469</v>
      </c>
      <c r="Y139" s="164">
        <f>IF(J139=0,0,X139*100/J139)</f>
        <v>18.114714672175605</v>
      </c>
      <c r="Z139" s="165">
        <v>2081180</v>
      </c>
      <c r="AA139" s="164">
        <f>IF(K139=0,0,Z139*100/K139)</f>
        <v>25.743106806247468</v>
      </c>
      <c r="AB139" s="165">
        <v>2703173.4</v>
      </c>
      <c r="AC139" s="164">
        <f>IF(L139=0,0,AB139*100/L139)</f>
        <v>33.436839462231575</v>
      </c>
      <c r="AD139" s="165">
        <v>3209129.34</v>
      </c>
      <c r="AE139" s="164">
        <f>IF(O139=0,0,AD139*100/O139)</f>
        <v>39.695249500130906</v>
      </c>
      <c r="AF139" s="165">
        <v>4058998.4</v>
      </c>
      <c r="AG139" s="164">
        <f>IF(N139=0,0,AF139*100/N139)</f>
        <v>50.20768474499447</v>
      </c>
      <c r="AH139" s="165">
        <v>4695810.8</v>
      </c>
      <c r="AI139" s="164">
        <f>IF(O139=0,0,AH139*100/O139)</f>
        <v>58.08472067112425</v>
      </c>
      <c r="AJ139" s="165">
        <v>5055780.9</v>
      </c>
      <c r="AK139" s="164">
        <f t="shared" si="185"/>
        <v>62.53736231257554</v>
      </c>
      <c r="AL139" s="165">
        <v>6258143.7</v>
      </c>
      <c r="AM139" s="153">
        <f t="shared" si="186"/>
        <v>77.40996054062825</v>
      </c>
      <c r="AN139" s="166">
        <v>6720355.1</v>
      </c>
      <c r="AO139" s="153">
        <f>AN139/I139*100</f>
        <v>82.87543600873948</v>
      </c>
      <c r="AP139" s="134">
        <f t="shared" si="187"/>
        <v>85.67260538948845</v>
      </c>
      <c r="AQ139" s="229">
        <v>7456402.7</v>
      </c>
      <c r="AR139" s="154">
        <f>AQ139/I139*100</f>
        <v>91.95237686461574</v>
      </c>
      <c r="AS139" s="244">
        <f t="shared" si="188"/>
        <v>94.69807196197408</v>
      </c>
      <c r="AT139" s="227">
        <v>7711268.9</v>
      </c>
      <c r="AU139" s="129">
        <f>AT139*100/I139</f>
        <v>95.09538748452935</v>
      </c>
      <c r="AV139" s="101"/>
      <c r="AW139" s="130">
        <v>676229.59</v>
      </c>
      <c r="AX139" s="130">
        <v>676229.68</v>
      </c>
      <c r="AY139" s="167">
        <f>IF(AW139=0,0,AX139*100/AW139)</f>
        <v>100.0000133090893</v>
      </c>
      <c r="AZ139" s="101"/>
      <c r="BA139" s="103"/>
    </row>
    <row r="140" spans="1:53" s="102" customFormat="1" ht="51">
      <c r="A140" s="256"/>
      <c r="B140" s="256"/>
      <c r="C140" s="256"/>
      <c r="D140" s="256"/>
      <c r="E140" s="256"/>
      <c r="F140" s="145" t="s">
        <v>118</v>
      </c>
      <c r="G140" s="179">
        <v>241113.5</v>
      </c>
      <c r="H140" s="179">
        <v>241113.5</v>
      </c>
      <c r="I140" s="130">
        <v>241113.5</v>
      </c>
      <c r="J140" s="130">
        <v>241113.5</v>
      </c>
      <c r="K140" s="130">
        <v>241113.5</v>
      </c>
      <c r="L140" s="130">
        <v>241113.5</v>
      </c>
      <c r="M140" s="130">
        <v>241113.5</v>
      </c>
      <c r="N140" s="130">
        <v>241113.5</v>
      </c>
      <c r="O140" s="130">
        <f>N140</f>
        <v>241113.5</v>
      </c>
      <c r="P140" s="130">
        <v>241113.5</v>
      </c>
      <c r="Q140" s="130">
        <v>241113.5</v>
      </c>
      <c r="R140" s="130">
        <v>241113.5</v>
      </c>
      <c r="S140" s="224">
        <v>241113.5</v>
      </c>
      <c r="T140" s="130">
        <v>241113.5</v>
      </c>
      <c r="U140" s="130">
        <v>241113.5</v>
      </c>
      <c r="V140" s="130">
        <v>241113.5</v>
      </c>
      <c r="W140" s="130">
        <v>241113.5</v>
      </c>
      <c r="X140" s="130">
        <v>0</v>
      </c>
      <c r="Y140" s="164">
        <f>IF(J140=0,0,X140*100/J140)</f>
        <v>0</v>
      </c>
      <c r="Z140" s="165">
        <v>0</v>
      </c>
      <c r="AA140" s="164">
        <f>IF(K140=0,0,Z140*100/K140)</f>
        <v>0</v>
      </c>
      <c r="AB140" s="165">
        <v>0</v>
      </c>
      <c r="AC140" s="164">
        <f>IF(L140=0,0,AB140*100/L140)</f>
        <v>0</v>
      </c>
      <c r="AD140" s="165">
        <v>0</v>
      </c>
      <c r="AE140" s="164">
        <f>IF(O140=0,0,AD140*100/O140)</f>
        <v>0</v>
      </c>
      <c r="AF140" s="165">
        <v>0</v>
      </c>
      <c r="AG140" s="164">
        <f>IF(N140=0,0,AF140*100/N140)</f>
        <v>0</v>
      </c>
      <c r="AH140" s="165">
        <v>0</v>
      </c>
      <c r="AI140" s="164">
        <f>IF(O140=0,0,AH140*100/O140)</f>
        <v>0</v>
      </c>
      <c r="AJ140" s="165">
        <v>0</v>
      </c>
      <c r="AK140" s="164">
        <f t="shared" si="185"/>
        <v>0</v>
      </c>
      <c r="AL140" s="165">
        <v>241113.5</v>
      </c>
      <c r="AM140" s="153">
        <f t="shared" si="186"/>
        <v>100</v>
      </c>
      <c r="AN140" s="166">
        <v>241113.5</v>
      </c>
      <c r="AO140" s="153">
        <f>AN140/I140*100</f>
        <v>100</v>
      </c>
      <c r="AP140" s="134">
        <f t="shared" si="187"/>
        <v>100</v>
      </c>
      <c r="AQ140" s="166">
        <v>241113.5</v>
      </c>
      <c r="AR140" s="154">
        <f>AQ140/I140*100</f>
        <v>100</v>
      </c>
      <c r="AS140" s="243">
        <f t="shared" si="188"/>
        <v>100</v>
      </c>
      <c r="AT140" s="165">
        <v>241113.5</v>
      </c>
      <c r="AU140" s="129">
        <f>AT140*100/I140</f>
        <v>100</v>
      </c>
      <c r="AV140" s="101"/>
      <c r="AW140" s="130">
        <v>0</v>
      </c>
      <c r="AX140" s="130">
        <v>0</v>
      </c>
      <c r="AY140" s="167">
        <f>IF(AW140=0,0,AX140*100/AW140)</f>
        <v>0</v>
      </c>
      <c r="AZ140" s="101"/>
      <c r="BA140" s="103"/>
    </row>
    <row r="141" spans="1:53" s="102" customFormat="1" ht="63.75">
      <c r="A141" s="256"/>
      <c r="B141" s="256"/>
      <c r="C141" s="256"/>
      <c r="D141" s="256"/>
      <c r="E141" s="256"/>
      <c r="F141" s="145" t="s">
        <v>38</v>
      </c>
      <c r="G141" s="179">
        <v>98609.8</v>
      </c>
      <c r="H141" s="179">
        <v>98609.8</v>
      </c>
      <c r="I141" s="166">
        <v>108881</v>
      </c>
      <c r="J141" s="166">
        <v>108881</v>
      </c>
      <c r="K141" s="166">
        <v>108881</v>
      </c>
      <c r="L141" s="166">
        <v>108881</v>
      </c>
      <c r="M141" s="166">
        <v>108881</v>
      </c>
      <c r="N141" s="166">
        <v>108881</v>
      </c>
      <c r="O141" s="166">
        <v>108881</v>
      </c>
      <c r="P141" s="166">
        <v>108881</v>
      </c>
      <c r="Q141" s="166">
        <v>108881</v>
      </c>
      <c r="R141" s="166">
        <v>108881</v>
      </c>
      <c r="S141" s="166">
        <v>108881</v>
      </c>
      <c r="T141" s="165">
        <v>372.5</v>
      </c>
      <c r="U141" s="167">
        <f>SUM(T141/G141*100)</f>
        <v>0.3777515013720746</v>
      </c>
      <c r="V141" s="238">
        <v>372.5</v>
      </c>
      <c r="W141" s="167">
        <f>IF(H141=0,0,V141*100/H141)</f>
        <v>0.3777515013720746</v>
      </c>
      <c r="X141" s="165">
        <v>2336.8</v>
      </c>
      <c r="Y141" s="167">
        <f>IF(J141=0,0,X141*100/J141)</f>
        <v>2.1461963060589087</v>
      </c>
      <c r="Z141" s="165">
        <v>12385.9</v>
      </c>
      <c r="AA141" s="167">
        <f>IF(K141=0,0,Z141*100/K141)</f>
        <v>11.375630275254636</v>
      </c>
      <c r="AB141" s="165">
        <v>11828.6</v>
      </c>
      <c r="AC141" s="167">
        <f>IF(L141=0,0,AB141*100/L141)</f>
        <v>10.863787070287746</v>
      </c>
      <c r="AD141" s="165">
        <v>13385.2</v>
      </c>
      <c r="AE141" s="167">
        <f>IF(O141=0,0,AD141*100/O141)</f>
        <v>12.293421258070738</v>
      </c>
      <c r="AF141" s="165">
        <v>25337.7</v>
      </c>
      <c r="AG141" s="167">
        <f>IF(N141=0,0,AF141*100/N141)</f>
        <v>23.271002286900377</v>
      </c>
      <c r="AH141" s="165">
        <v>46323.9</v>
      </c>
      <c r="AI141" s="167">
        <f>IF(O141=0,0,AH141*100/O141)</f>
        <v>42.545439516536405</v>
      </c>
      <c r="AJ141" s="165">
        <v>67210.8</v>
      </c>
      <c r="AK141" s="167">
        <f t="shared" si="185"/>
        <v>61.728676261239336</v>
      </c>
      <c r="AL141" s="165">
        <v>119639.2</v>
      </c>
      <c r="AM141" s="134">
        <f t="shared" si="186"/>
        <v>109.88069543813889</v>
      </c>
      <c r="AN141" s="166">
        <v>129023.1</v>
      </c>
      <c r="AO141" s="153">
        <f>AN141/I141*100</f>
        <v>118.49918718601043</v>
      </c>
      <c r="AP141" s="134">
        <f t="shared" si="187"/>
        <v>118.49918718601042</v>
      </c>
      <c r="AQ141" s="166">
        <v>143126.9</v>
      </c>
      <c r="AR141" s="154">
        <f>AQ141/I141*100</f>
        <v>131.4525950349464</v>
      </c>
      <c r="AS141" s="243">
        <f t="shared" si="188"/>
        <v>131.4525950349464</v>
      </c>
      <c r="AT141" s="165">
        <v>128721</v>
      </c>
      <c r="AU141" s="129">
        <f>AT141*100/I141</f>
        <v>118.22172830888769</v>
      </c>
      <c r="AV141" s="101"/>
      <c r="AW141" s="130">
        <v>5774.2</v>
      </c>
      <c r="AX141" s="130">
        <v>9383.9</v>
      </c>
      <c r="AY141" s="167">
        <f>IF(AW141=0,0,AX141*100/AW141)</f>
        <v>162.5142876935333</v>
      </c>
      <c r="AZ141" s="101"/>
      <c r="BA141" s="103"/>
    </row>
    <row r="142" spans="1:53" s="102" customFormat="1" ht="51">
      <c r="A142" s="256"/>
      <c r="B142" s="256"/>
      <c r="C142" s="256"/>
      <c r="D142" s="256"/>
      <c r="E142" s="256"/>
      <c r="F142" s="145" t="s">
        <v>23</v>
      </c>
      <c r="G142" s="179">
        <v>5607729.8</v>
      </c>
      <c r="H142" s="179">
        <v>5607729.8</v>
      </c>
      <c r="I142" s="180">
        <v>3972252.8</v>
      </c>
      <c r="J142" s="180">
        <v>5607729.8</v>
      </c>
      <c r="K142" s="180">
        <v>5607729.8</v>
      </c>
      <c r="L142" s="180">
        <v>5607729.8</v>
      </c>
      <c r="M142" s="180">
        <v>3903151.5</v>
      </c>
      <c r="N142" s="180">
        <v>3903151.5</v>
      </c>
      <c r="O142" s="130">
        <f>N142</f>
        <v>3903151.5</v>
      </c>
      <c r="P142" s="165">
        <v>4142727.5</v>
      </c>
      <c r="Q142" s="165">
        <v>4142727.5</v>
      </c>
      <c r="R142" s="165">
        <v>4020100.1</v>
      </c>
      <c r="S142" s="166">
        <v>4068652.8</v>
      </c>
      <c r="T142" s="165">
        <v>0</v>
      </c>
      <c r="U142" s="167">
        <f>SUM(T142/G142*100)</f>
        <v>0</v>
      </c>
      <c r="V142" s="238">
        <v>98811</v>
      </c>
      <c r="W142" s="167">
        <f>IF(H142=0,0,V142*100/H142)</f>
        <v>1.7620499475563178</v>
      </c>
      <c r="X142" s="238">
        <v>366644.63</v>
      </c>
      <c r="Y142" s="167">
        <f>IF(J142=0,0,X142*100/J142)</f>
        <v>6.538200717160088</v>
      </c>
      <c r="Z142" s="165">
        <v>456429.9</v>
      </c>
      <c r="AA142" s="167">
        <f>IF(K142=0,0,Z142*100/K142)</f>
        <v>8.139299079638253</v>
      </c>
      <c r="AB142" s="165">
        <v>590461.5</v>
      </c>
      <c r="AC142" s="167">
        <f>IF(L142=0,0,AB142*100/L142)</f>
        <v>10.529421371193742</v>
      </c>
      <c r="AD142" s="165">
        <v>598413.7</v>
      </c>
      <c r="AE142" s="167">
        <f>IF(O142=0,0,AD142*100/O142)</f>
        <v>15.331551952313404</v>
      </c>
      <c r="AF142" s="165">
        <v>946357.48</v>
      </c>
      <c r="AG142" s="167">
        <f>IF(N142=0,0,AF142*100/N142)</f>
        <v>24.24598379027819</v>
      </c>
      <c r="AH142" s="165">
        <v>1333986.5</v>
      </c>
      <c r="AI142" s="167">
        <f>IF(O142=0,0,AH142*100/O142)</f>
        <v>34.1771642735364</v>
      </c>
      <c r="AJ142" s="165">
        <v>2220753.2</v>
      </c>
      <c r="AK142" s="167">
        <f t="shared" si="185"/>
        <v>53.60606508634711</v>
      </c>
      <c r="AL142" s="165">
        <v>2922371.9</v>
      </c>
      <c r="AM142" s="134">
        <f t="shared" si="186"/>
        <v>70.54221886426274</v>
      </c>
      <c r="AN142" s="166">
        <v>3345839.2</v>
      </c>
      <c r="AO142" s="153">
        <f>AN142/I142*100</f>
        <v>84.23026852671613</v>
      </c>
      <c r="AP142" s="134">
        <f t="shared" si="187"/>
        <v>83.22775843317932</v>
      </c>
      <c r="AQ142" s="166">
        <v>4021809.7</v>
      </c>
      <c r="AR142" s="154">
        <f>AQ142/I142*100</f>
        <v>101.24757668998308</v>
      </c>
      <c r="AS142" s="243">
        <f t="shared" si="188"/>
        <v>98.8486827875802</v>
      </c>
      <c r="AT142" s="165">
        <v>3972252.7</v>
      </c>
      <c r="AU142" s="129">
        <f>AT142*100/I142</f>
        <v>99.99999748253687</v>
      </c>
      <c r="AV142" s="101"/>
      <c r="AW142" s="130">
        <v>424047.37999999995</v>
      </c>
      <c r="AX142" s="130">
        <v>423468.2</v>
      </c>
      <c r="AY142" s="167">
        <f>IF(AW142=0,0,AX142*100/AW142)</f>
        <v>99.86341620599096</v>
      </c>
      <c r="AZ142" s="101"/>
      <c r="BA142" s="103"/>
    </row>
    <row r="143" spans="1:53" s="102" customFormat="1" ht="38.25">
      <c r="A143" s="256"/>
      <c r="B143" s="256"/>
      <c r="C143" s="256"/>
      <c r="D143" s="256"/>
      <c r="E143" s="256"/>
      <c r="F143" s="145" t="s">
        <v>44</v>
      </c>
      <c r="G143" s="179">
        <v>1937870</v>
      </c>
      <c r="H143" s="179">
        <v>1937870</v>
      </c>
      <c r="I143" s="180">
        <v>2137579</v>
      </c>
      <c r="J143" s="180">
        <v>1937870</v>
      </c>
      <c r="K143" s="180">
        <v>1937870</v>
      </c>
      <c r="L143" s="180">
        <v>1937870</v>
      </c>
      <c r="M143" s="180">
        <v>1937870</v>
      </c>
      <c r="N143" s="180">
        <v>1937870</v>
      </c>
      <c r="O143" s="130">
        <f>N143</f>
        <v>1937870</v>
      </c>
      <c r="P143" s="130">
        <f>O143</f>
        <v>1937870</v>
      </c>
      <c r="Q143" s="130">
        <f>P143</f>
        <v>1937870</v>
      </c>
      <c r="R143" s="130">
        <v>2137579</v>
      </c>
      <c r="S143" s="224">
        <f aca="true" t="shared" si="189" ref="S143:AI143">R143</f>
        <v>2137579</v>
      </c>
      <c r="T143" s="130">
        <f t="shared" si="189"/>
        <v>2137579</v>
      </c>
      <c r="U143" s="130">
        <f t="shared" si="189"/>
        <v>2137579</v>
      </c>
      <c r="V143" s="130">
        <f t="shared" si="189"/>
        <v>2137579</v>
      </c>
      <c r="W143" s="130">
        <f t="shared" si="189"/>
        <v>2137579</v>
      </c>
      <c r="X143" s="130">
        <f t="shared" si="189"/>
        <v>2137579</v>
      </c>
      <c r="Y143" s="130">
        <f t="shared" si="189"/>
        <v>2137579</v>
      </c>
      <c r="Z143" s="130">
        <f t="shared" si="189"/>
        <v>2137579</v>
      </c>
      <c r="AA143" s="130">
        <f t="shared" si="189"/>
        <v>2137579</v>
      </c>
      <c r="AB143" s="130">
        <f t="shared" si="189"/>
        <v>2137579</v>
      </c>
      <c r="AC143" s="130">
        <f t="shared" si="189"/>
        <v>2137579</v>
      </c>
      <c r="AD143" s="130">
        <f t="shared" si="189"/>
        <v>2137579</v>
      </c>
      <c r="AE143" s="130">
        <f t="shared" si="189"/>
        <v>2137579</v>
      </c>
      <c r="AF143" s="130">
        <f t="shared" si="189"/>
        <v>2137579</v>
      </c>
      <c r="AG143" s="130">
        <f t="shared" si="189"/>
        <v>2137579</v>
      </c>
      <c r="AH143" s="130">
        <f t="shared" si="189"/>
        <v>2137579</v>
      </c>
      <c r="AI143" s="130">
        <f t="shared" si="189"/>
        <v>2137579</v>
      </c>
      <c r="AJ143" s="165">
        <v>0</v>
      </c>
      <c r="AK143" s="167">
        <f t="shared" si="185"/>
        <v>0</v>
      </c>
      <c r="AL143" s="165">
        <v>0</v>
      </c>
      <c r="AM143" s="134">
        <f t="shared" si="186"/>
        <v>0</v>
      </c>
      <c r="AN143" s="166">
        <v>657492.75</v>
      </c>
      <c r="AO143" s="153">
        <f>AN143/I143*100</f>
        <v>30.758757921929437</v>
      </c>
      <c r="AP143" s="134">
        <f t="shared" si="187"/>
        <v>30.758757921929433</v>
      </c>
      <c r="AQ143" s="166">
        <v>657492.8</v>
      </c>
      <c r="AR143" s="154">
        <f>AQ143/I143*100</f>
        <v>30.75876026102427</v>
      </c>
      <c r="AS143" s="243">
        <f t="shared" si="188"/>
        <v>30.758760261024275</v>
      </c>
      <c r="AT143" s="165">
        <v>947579</v>
      </c>
      <c r="AU143" s="129">
        <f>AT143*100/I143</f>
        <v>44.32954290812176</v>
      </c>
      <c r="AV143" s="101"/>
      <c r="AW143" s="130">
        <v>657492.75</v>
      </c>
      <c r="AX143" s="130">
        <v>657492.75</v>
      </c>
      <c r="AY143" s="167">
        <f>IF(AW143=0,0,AX143*100/AW143)</f>
        <v>100</v>
      </c>
      <c r="AZ143" s="101"/>
      <c r="BA143" s="103"/>
    </row>
    <row r="144" spans="1:53" s="102" customFormat="1" ht="25.5">
      <c r="A144" s="124"/>
      <c r="B144" s="256"/>
      <c r="C144" s="256"/>
      <c r="D144" s="256"/>
      <c r="E144" s="256"/>
      <c r="F144" s="194" t="s">
        <v>131</v>
      </c>
      <c r="G144" s="142"/>
      <c r="H144" s="240"/>
      <c r="I144" s="142"/>
      <c r="J144" s="142"/>
      <c r="K144" s="142"/>
      <c r="L144" s="142"/>
      <c r="M144" s="142"/>
      <c r="N144" s="142"/>
      <c r="O144" s="142"/>
      <c r="P144" s="142"/>
      <c r="Q144" s="142"/>
      <c r="R144" s="142"/>
      <c r="S144" s="274"/>
      <c r="T144" s="240"/>
      <c r="U144" s="240"/>
      <c r="V144" s="240"/>
      <c r="W144" s="240"/>
      <c r="X144" s="240"/>
      <c r="Y144" s="240"/>
      <c r="Z144" s="240"/>
      <c r="AA144" s="240"/>
      <c r="AB144" s="240"/>
      <c r="AC144" s="240"/>
      <c r="AD144" s="240"/>
      <c r="AE144" s="240"/>
      <c r="AF144" s="240"/>
      <c r="AG144" s="240"/>
      <c r="AH144" s="240"/>
      <c r="AI144" s="240"/>
      <c r="AJ144" s="240"/>
      <c r="AK144" s="240"/>
      <c r="AL144" s="240"/>
      <c r="AM144" s="279"/>
      <c r="AN144" s="241"/>
      <c r="AO144" s="279"/>
      <c r="AP144" s="279"/>
      <c r="AQ144" s="241"/>
      <c r="AR144" s="288"/>
      <c r="AS144" s="288"/>
      <c r="AT144" s="240"/>
      <c r="AU144" s="293"/>
      <c r="AV144" s="101"/>
      <c r="AW144" s="239"/>
      <c r="AZ144" s="101"/>
      <c r="BA144" s="103"/>
    </row>
    <row r="145" spans="1:53" s="102" customFormat="1" ht="63.75">
      <c r="A145" s="124"/>
      <c r="B145" s="256"/>
      <c r="C145" s="256"/>
      <c r="D145" s="256"/>
      <c r="E145" s="256"/>
      <c r="F145" s="145" t="s">
        <v>77</v>
      </c>
      <c r="G145" s="129">
        <v>6451410.6</v>
      </c>
      <c r="H145" s="129">
        <v>6451410.6</v>
      </c>
      <c r="I145" s="130">
        <v>6515695.7</v>
      </c>
      <c r="J145" s="130">
        <v>6451410.6</v>
      </c>
      <c r="K145" s="130">
        <v>6451410.6</v>
      </c>
      <c r="L145" s="130">
        <v>6515695.7</v>
      </c>
      <c r="M145" s="130">
        <v>6515695.7</v>
      </c>
      <c r="N145" s="130">
        <v>6515695.7</v>
      </c>
      <c r="O145" s="130">
        <v>6515695.7</v>
      </c>
      <c r="P145" s="130">
        <v>6515695.7</v>
      </c>
      <c r="Q145" s="130">
        <v>6515695.7</v>
      </c>
      <c r="R145" s="130">
        <v>6515695.7</v>
      </c>
      <c r="S145" s="224">
        <v>6515695.7</v>
      </c>
      <c r="T145" s="130">
        <v>203221.1</v>
      </c>
      <c r="U145" s="130">
        <v>3.150025825359806</v>
      </c>
      <c r="V145" s="130">
        <v>699187.3</v>
      </c>
      <c r="W145" s="130">
        <v>10.83774298910691</v>
      </c>
      <c r="X145" s="130">
        <v>1200251.34</v>
      </c>
      <c r="Y145" s="130">
        <v>18.60447915065273</v>
      </c>
      <c r="Z145" s="130">
        <v>1595260.4700000002</v>
      </c>
      <c r="AA145" s="130">
        <v>24.727312659343067</v>
      </c>
      <c r="AB145" s="130">
        <v>2065359.79</v>
      </c>
      <c r="AC145" s="130">
        <v>31.698223568052754</v>
      </c>
      <c r="AD145" s="130">
        <v>2530712.16</v>
      </c>
      <c r="AE145" s="130">
        <v>38.84024479534856</v>
      </c>
      <c r="AF145" s="130">
        <v>3281921.37</v>
      </c>
      <c r="AG145" s="130">
        <v>50.36946967919327</v>
      </c>
      <c r="AH145" s="130">
        <v>3793585.7</v>
      </c>
      <c r="AI145" s="130">
        <v>58.22226627311647</v>
      </c>
      <c r="AJ145" s="165">
        <v>4022353.8</v>
      </c>
      <c r="AK145" s="164">
        <v>61.73329733615399</v>
      </c>
      <c r="AL145" s="165">
        <v>5135812.86</v>
      </c>
      <c r="AM145" s="153">
        <v>78.82217182119172</v>
      </c>
      <c r="AN145" s="166">
        <v>5392306.53</v>
      </c>
      <c r="AO145" s="153">
        <v>79.0582198306161</v>
      </c>
      <c r="AP145" s="153">
        <v>79.0582198306161</v>
      </c>
      <c r="AQ145" s="166">
        <v>6121483.9</v>
      </c>
      <c r="AR145" s="154">
        <v>79.0582198306161</v>
      </c>
      <c r="AS145" s="154">
        <v>0</v>
      </c>
      <c r="AT145" s="165">
        <v>6449847.3</v>
      </c>
      <c r="AU145" s="129">
        <f>AT145*100/I145</f>
        <v>98.98938804032852</v>
      </c>
      <c r="AV145" s="101"/>
      <c r="AW145" s="130">
        <v>243451.1</v>
      </c>
      <c r="AX145" s="130">
        <v>243451.1</v>
      </c>
      <c r="AY145" s="167">
        <v>100</v>
      </c>
      <c r="AZ145" s="101"/>
      <c r="BA145" s="103"/>
    </row>
    <row r="146" spans="1:53" s="102" customFormat="1" ht="409.5">
      <c r="A146" s="124" t="s">
        <v>93</v>
      </c>
      <c r="B146" s="124">
        <v>19</v>
      </c>
      <c r="C146" s="145" t="s">
        <v>55</v>
      </c>
      <c r="D146" s="201" t="s">
        <v>193</v>
      </c>
      <c r="E146" s="124" t="s">
        <v>48</v>
      </c>
      <c r="F146" s="148" t="s">
        <v>26</v>
      </c>
      <c r="G146" s="191">
        <f aca="true" t="shared" si="190" ref="G146:T146">SUM(G148:G152)</f>
        <v>1963963.3</v>
      </c>
      <c r="H146" s="191">
        <f t="shared" si="190"/>
        <v>1963963.3</v>
      </c>
      <c r="I146" s="191">
        <f t="shared" si="190"/>
        <v>676146.2</v>
      </c>
      <c r="J146" s="191">
        <f t="shared" si="190"/>
        <v>1963963.3</v>
      </c>
      <c r="K146" s="191">
        <f t="shared" si="190"/>
        <v>1963963.3</v>
      </c>
      <c r="L146" s="191">
        <f t="shared" si="190"/>
        <v>1963963.3</v>
      </c>
      <c r="M146" s="191">
        <f t="shared" si="190"/>
        <v>1963963.3</v>
      </c>
      <c r="N146" s="191">
        <f t="shared" si="190"/>
        <v>1963963.3</v>
      </c>
      <c r="O146" s="191">
        <f t="shared" si="190"/>
        <v>1965135.6</v>
      </c>
      <c r="P146" s="191">
        <f t="shared" si="190"/>
        <v>1965135.6</v>
      </c>
      <c r="Q146" s="191">
        <f t="shared" si="190"/>
        <v>1965135.6</v>
      </c>
      <c r="R146" s="191">
        <f t="shared" si="190"/>
        <v>1965135.6</v>
      </c>
      <c r="S146" s="242">
        <f t="shared" si="190"/>
        <v>1965135.6</v>
      </c>
      <c r="T146" s="191">
        <f t="shared" si="190"/>
        <v>94690.3</v>
      </c>
      <c r="U146" s="151">
        <f>SUM(T146/G146*100)</f>
        <v>4.821388464845549</v>
      </c>
      <c r="V146" s="191">
        <f>SUM(V148:V152)</f>
        <v>212349.8</v>
      </c>
      <c r="W146" s="151">
        <f>IF(H146=0,0,V146*100/H146)</f>
        <v>10.812309985629568</v>
      </c>
      <c r="X146" s="191">
        <f>SUM(X148:X152)</f>
        <v>308510.6</v>
      </c>
      <c r="Y146" s="151">
        <f>IF(J146=0,0,X146*100/J146)</f>
        <v>15.708572558356867</v>
      </c>
      <c r="Z146" s="191">
        <f>SUM(Z148:Z152)</f>
        <v>361768.1</v>
      </c>
      <c r="AA146" s="151">
        <f>IF(K146=0,0,Z146*100/K146)</f>
        <v>18.420308566865785</v>
      </c>
      <c r="AB146" s="191">
        <f>SUM(AB148:AB152)</f>
        <v>388450.5</v>
      </c>
      <c r="AC146" s="151">
        <f>IF(L146=0,0,AB146*100/L146)</f>
        <v>19.778908292227253</v>
      </c>
      <c r="AD146" s="191">
        <f>SUM(AD148:AD152)</f>
        <v>437873.8</v>
      </c>
      <c r="AE146" s="151">
        <f>IF(O146=0,0,AD146*100/O146)</f>
        <v>22.28211630790262</v>
      </c>
      <c r="AF146" s="191">
        <f>SUM(AF148:AF152)</f>
        <v>519077.7</v>
      </c>
      <c r="AG146" s="151">
        <f>IF(N146=0,0,AF146*100/N146)</f>
        <v>26.43011200871218</v>
      </c>
      <c r="AH146" s="191">
        <f>SUM(AH148:AH152)</f>
        <v>537639.1</v>
      </c>
      <c r="AI146" s="151">
        <f>IF(O146=0,0,AH146*100/O146)</f>
        <v>27.35888047623787</v>
      </c>
      <c r="AJ146" s="191">
        <f>SUM(AJ148:AJ152)</f>
        <v>552158</v>
      </c>
      <c r="AK146" s="151">
        <f>IF(P146=0,0,AJ146*100/P146)</f>
        <v>28.097704809785135</v>
      </c>
      <c r="AL146" s="191">
        <f>SUM(AL148:AL152)</f>
        <v>578786.2</v>
      </c>
      <c r="AM146" s="151">
        <f>IF(Q146=0,0,AL146*100/Q146)</f>
        <v>29.452735984224187</v>
      </c>
      <c r="AN146" s="242">
        <f>SUM(AN148:AN152)</f>
        <v>592030.8</v>
      </c>
      <c r="AO146" s="134">
        <f>AN146/I146*100</f>
        <v>87.55958400712747</v>
      </c>
      <c r="AP146" s="151">
        <f>IF(R146=0,0,AN146*100/R146)</f>
        <v>30.126714919825382</v>
      </c>
      <c r="AQ146" s="242">
        <f>SUM(AQ148:AQ152)</f>
        <v>664479.7</v>
      </c>
      <c r="AR146" s="243">
        <f>AQ146/I146*100</f>
        <v>98.27455955531511</v>
      </c>
      <c r="AS146" s="244">
        <f>IF(S146=0,0,AQ146*100/S146)</f>
        <v>33.81342742963895</v>
      </c>
      <c r="AT146" s="245">
        <f>SUM(AT148:AT152)</f>
        <v>756146.2</v>
      </c>
      <c r="AU146" s="129">
        <f>AT146*100/I146</f>
        <v>111.83176064584849</v>
      </c>
      <c r="AV146" s="215" t="s">
        <v>208</v>
      </c>
      <c r="AW146" s="216">
        <f>SUM(AW148:AW152)</f>
        <v>1316555.1</v>
      </c>
      <c r="AX146" s="217">
        <f>SUM(AX148:AX152)</f>
        <v>72448.9</v>
      </c>
      <c r="AY146" s="134">
        <f>IF(AW146=0,0,AX146*100/AW146)</f>
        <v>5.502914386188621</v>
      </c>
      <c r="AZ146" s="131"/>
      <c r="BA146" s="103">
        <f aca="true" t="shared" si="191" ref="BA146:BA159">SUM(AX146+AN146)</f>
        <v>664479.7000000001</v>
      </c>
    </row>
    <row r="147" spans="1:53" s="102" customFormat="1" ht="25.5">
      <c r="A147" s="256"/>
      <c r="B147" s="256"/>
      <c r="C147" s="256"/>
      <c r="D147" s="256"/>
      <c r="E147" s="256"/>
      <c r="F147" s="136" t="s">
        <v>29</v>
      </c>
      <c r="G147" s="137"/>
      <c r="H147" s="137"/>
      <c r="I147" s="137"/>
      <c r="J147" s="137"/>
      <c r="K147" s="137"/>
      <c r="L147" s="137"/>
      <c r="M147" s="137"/>
      <c r="N147" s="137"/>
      <c r="O147" s="137"/>
      <c r="P147" s="137"/>
      <c r="Q147" s="137"/>
      <c r="R147" s="137"/>
      <c r="S147" s="139"/>
      <c r="T147" s="137"/>
      <c r="U147" s="137"/>
      <c r="V147" s="137"/>
      <c r="W147" s="137"/>
      <c r="X147" s="137"/>
      <c r="Y147" s="137"/>
      <c r="Z147" s="137"/>
      <c r="AA147" s="137"/>
      <c r="AB147" s="137"/>
      <c r="AC147" s="137"/>
      <c r="AD147" s="137"/>
      <c r="AE147" s="138"/>
      <c r="AF147" s="137"/>
      <c r="AG147" s="137"/>
      <c r="AH147" s="137"/>
      <c r="AI147" s="137"/>
      <c r="AJ147" s="137"/>
      <c r="AK147" s="137"/>
      <c r="AL147" s="137"/>
      <c r="AM147" s="137"/>
      <c r="AN147" s="139"/>
      <c r="AO147" s="138"/>
      <c r="AP147" s="137"/>
      <c r="AQ147" s="139"/>
      <c r="AR147" s="140"/>
      <c r="AS147" s="139"/>
      <c r="AT147" s="142"/>
      <c r="AU147" s="143"/>
      <c r="AV147" s="101"/>
      <c r="AW147" s="246"/>
      <c r="AX147" s="207"/>
      <c r="AY147" s="193"/>
      <c r="AZ147" s="101"/>
      <c r="BA147" s="103">
        <f t="shared" si="191"/>
        <v>0</v>
      </c>
    </row>
    <row r="148" spans="1:53" s="102" customFormat="1" ht="38.25">
      <c r="A148" s="256"/>
      <c r="B148" s="256"/>
      <c r="C148" s="256"/>
      <c r="D148" s="256"/>
      <c r="E148" s="256"/>
      <c r="F148" s="144" t="s">
        <v>27</v>
      </c>
      <c r="G148" s="179">
        <v>0</v>
      </c>
      <c r="H148" s="179">
        <v>0</v>
      </c>
      <c r="I148" s="180">
        <v>0</v>
      </c>
      <c r="J148" s="180">
        <v>0</v>
      </c>
      <c r="K148" s="180">
        <v>0</v>
      </c>
      <c r="L148" s="180">
        <v>0</v>
      </c>
      <c r="M148" s="180">
        <v>0</v>
      </c>
      <c r="N148" s="180">
        <v>0</v>
      </c>
      <c r="O148" s="180">
        <v>0</v>
      </c>
      <c r="P148" s="197">
        <v>0</v>
      </c>
      <c r="Q148" s="197">
        <v>0</v>
      </c>
      <c r="R148" s="197">
        <v>0</v>
      </c>
      <c r="S148" s="198">
        <v>0</v>
      </c>
      <c r="T148" s="197">
        <v>0</v>
      </c>
      <c r="U148" s="167">
        <v>0</v>
      </c>
      <c r="V148" s="197">
        <v>0</v>
      </c>
      <c r="W148" s="167">
        <f aca="true" t="shared" si="192" ref="W148:W153">IF(H148=0,0,V148*100/H148)</f>
        <v>0</v>
      </c>
      <c r="X148" s="197">
        <v>0</v>
      </c>
      <c r="Y148" s="167">
        <f aca="true" t="shared" si="193" ref="Y148:Y153">IF(J148=0,0,X148*100/J148)</f>
        <v>0</v>
      </c>
      <c r="Z148" s="197">
        <v>0</v>
      </c>
      <c r="AA148" s="167">
        <f aca="true" t="shared" si="194" ref="AA148:AA153">IF(K148=0,0,Z148*100/K148)</f>
        <v>0</v>
      </c>
      <c r="AB148" s="197">
        <v>0</v>
      </c>
      <c r="AC148" s="167">
        <f aca="true" t="shared" si="195" ref="AC148:AC153">IF(L148=0,0,AB148*100/L148)</f>
        <v>0</v>
      </c>
      <c r="AD148" s="197">
        <v>0</v>
      </c>
      <c r="AE148" s="167">
        <f aca="true" t="shared" si="196" ref="AE148:AE153">IF(O148=0,0,AD148*100/O148)</f>
        <v>0</v>
      </c>
      <c r="AF148" s="197">
        <v>0</v>
      </c>
      <c r="AG148" s="167">
        <f aca="true" t="shared" si="197" ref="AG148:AG153">IF(N148=0,0,AF148*100/N148)</f>
        <v>0</v>
      </c>
      <c r="AH148" s="197">
        <v>0</v>
      </c>
      <c r="AI148" s="167">
        <f aca="true" t="shared" si="198" ref="AI148:AI153">IF(O148=0,0,AH148*100/O148)</f>
        <v>0</v>
      </c>
      <c r="AJ148" s="197">
        <v>0</v>
      </c>
      <c r="AK148" s="167">
        <f aca="true" t="shared" si="199" ref="AK148:AK153">IF(P148=0,0,AJ148*100/P148)</f>
        <v>0</v>
      </c>
      <c r="AL148" s="197">
        <v>0</v>
      </c>
      <c r="AM148" s="134">
        <f aca="true" t="shared" si="200" ref="AM148:AM153">IF(Q148=0,0,AL148*100/Q148)</f>
        <v>0</v>
      </c>
      <c r="AN148" s="198">
        <v>0</v>
      </c>
      <c r="AO148" s="153">
        <v>0</v>
      </c>
      <c r="AP148" s="134">
        <f aca="true" t="shared" si="201" ref="AP148:AP153">IF(R148=0,0,AN148*100/R148)</f>
        <v>0</v>
      </c>
      <c r="AQ148" s="198">
        <v>0</v>
      </c>
      <c r="AR148" s="154">
        <v>0</v>
      </c>
      <c r="AS148" s="243">
        <f aca="true" t="shared" si="202" ref="AS148:AS153">IF(S148=0,0,AQ148*100/S148)</f>
        <v>0</v>
      </c>
      <c r="AT148" s="197">
        <v>0</v>
      </c>
      <c r="AU148" s="292">
        <v>0</v>
      </c>
      <c r="AV148" s="101"/>
      <c r="AW148" s="208">
        <v>0</v>
      </c>
      <c r="AX148" s="209">
        <v>0</v>
      </c>
      <c r="AY148" s="167">
        <f aca="true" t="shared" si="203" ref="AY148:AY153">IF(AW148=0,0,AX148*100/AW148)</f>
        <v>0</v>
      </c>
      <c r="AZ148" s="101"/>
      <c r="BA148" s="103">
        <f t="shared" si="191"/>
        <v>0</v>
      </c>
    </row>
    <row r="149" spans="1:53" s="102" customFormat="1" ht="51">
      <c r="A149" s="256"/>
      <c r="B149" s="256"/>
      <c r="C149" s="256"/>
      <c r="D149" s="256"/>
      <c r="E149" s="256"/>
      <c r="F149" s="145" t="s">
        <v>3</v>
      </c>
      <c r="G149" s="179">
        <v>1963963.3</v>
      </c>
      <c r="H149" s="179">
        <v>1963963.3</v>
      </c>
      <c r="I149" s="208">
        <v>676146.2</v>
      </c>
      <c r="J149" s="180">
        <v>1963963.3</v>
      </c>
      <c r="K149" s="180">
        <v>1963963.3</v>
      </c>
      <c r="L149" s="180">
        <v>1963963.3</v>
      </c>
      <c r="M149" s="180">
        <v>1963963.3</v>
      </c>
      <c r="N149" s="180">
        <v>1963963.3</v>
      </c>
      <c r="O149" s="130">
        <v>1965135.6</v>
      </c>
      <c r="P149" s="165">
        <v>1965135.6</v>
      </c>
      <c r="Q149" s="165">
        <v>1965135.6</v>
      </c>
      <c r="R149" s="165">
        <v>1965135.6</v>
      </c>
      <c r="S149" s="166">
        <v>1965135.6</v>
      </c>
      <c r="T149" s="165">
        <v>94690.3</v>
      </c>
      <c r="U149" s="167">
        <f>SUM(T149/G149*100)</f>
        <v>4.821388464845549</v>
      </c>
      <c r="V149" s="165">
        <v>212349.8</v>
      </c>
      <c r="W149" s="167">
        <f t="shared" si="192"/>
        <v>10.812309985629568</v>
      </c>
      <c r="X149" s="165">
        <v>308510.6</v>
      </c>
      <c r="Y149" s="167">
        <f t="shared" si="193"/>
        <v>15.708572558356867</v>
      </c>
      <c r="Z149" s="165">
        <v>361768.1</v>
      </c>
      <c r="AA149" s="167">
        <f t="shared" si="194"/>
        <v>18.420308566865785</v>
      </c>
      <c r="AB149" s="165">
        <v>388450.5</v>
      </c>
      <c r="AC149" s="167">
        <f t="shared" si="195"/>
        <v>19.778908292227253</v>
      </c>
      <c r="AD149" s="165">
        <v>437873.8</v>
      </c>
      <c r="AE149" s="167">
        <f t="shared" si="196"/>
        <v>22.28211630790262</v>
      </c>
      <c r="AF149" s="165">
        <v>519077.7</v>
      </c>
      <c r="AG149" s="167">
        <f t="shared" si="197"/>
        <v>26.43011200871218</v>
      </c>
      <c r="AH149" s="165">
        <v>537639.1</v>
      </c>
      <c r="AI149" s="167">
        <f t="shared" si="198"/>
        <v>27.35888047623787</v>
      </c>
      <c r="AJ149" s="165">
        <v>552158</v>
      </c>
      <c r="AK149" s="167">
        <f t="shared" si="199"/>
        <v>28.097704809785135</v>
      </c>
      <c r="AL149" s="165">
        <v>578786.2</v>
      </c>
      <c r="AM149" s="134">
        <f t="shared" si="200"/>
        <v>29.452735984224187</v>
      </c>
      <c r="AN149" s="166">
        <v>592030.8</v>
      </c>
      <c r="AO149" s="153">
        <f>AN149/I149*100</f>
        <v>87.55958400712747</v>
      </c>
      <c r="AP149" s="134">
        <f t="shared" si="201"/>
        <v>30.126714919825382</v>
      </c>
      <c r="AQ149" s="166">
        <v>664479.7</v>
      </c>
      <c r="AR149" s="154">
        <f>AQ149/I149*100</f>
        <v>98.27455955531511</v>
      </c>
      <c r="AS149" s="243">
        <f t="shared" si="202"/>
        <v>33.81342742963895</v>
      </c>
      <c r="AT149" s="165">
        <v>756146.2</v>
      </c>
      <c r="AU149" s="129">
        <f>AT149*100/I149</f>
        <v>111.83176064584849</v>
      </c>
      <c r="AV149" s="101"/>
      <c r="AW149" s="210">
        <v>1316555.1</v>
      </c>
      <c r="AX149" s="211">
        <v>72448.9</v>
      </c>
      <c r="AY149" s="167">
        <f t="shared" si="203"/>
        <v>5.502914386188621</v>
      </c>
      <c r="AZ149" s="101"/>
      <c r="BA149" s="103">
        <f t="shared" si="191"/>
        <v>664479.7000000001</v>
      </c>
    </row>
    <row r="150" spans="1:53" s="102" customFormat="1" ht="63.75">
      <c r="A150" s="256"/>
      <c r="B150" s="256"/>
      <c r="C150" s="256"/>
      <c r="D150" s="256"/>
      <c r="E150" s="256"/>
      <c r="F150" s="145" t="s">
        <v>38</v>
      </c>
      <c r="G150" s="179">
        <v>0</v>
      </c>
      <c r="H150" s="179">
        <v>0</v>
      </c>
      <c r="I150" s="180">
        <v>0</v>
      </c>
      <c r="J150" s="180">
        <v>0</v>
      </c>
      <c r="K150" s="180">
        <v>0</v>
      </c>
      <c r="L150" s="165">
        <v>0</v>
      </c>
      <c r="M150" s="165">
        <v>0</v>
      </c>
      <c r="N150" s="165">
        <v>0</v>
      </c>
      <c r="O150" s="165">
        <v>0</v>
      </c>
      <c r="P150" s="165">
        <v>0</v>
      </c>
      <c r="Q150" s="165">
        <v>0</v>
      </c>
      <c r="R150" s="165">
        <v>0</v>
      </c>
      <c r="S150" s="166">
        <v>0</v>
      </c>
      <c r="T150" s="165">
        <v>0</v>
      </c>
      <c r="U150" s="167">
        <v>0</v>
      </c>
      <c r="V150" s="165">
        <v>0</v>
      </c>
      <c r="W150" s="167">
        <f t="shared" si="192"/>
        <v>0</v>
      </c>
      <c r="X150" s="165">
        <v>0</v>
      </c>
      <c r="Y150" s="167">
        <f t="shared" si="193"/>
        <v>0</v>
      </c>
      <c r="Z150" s="165">
        <v>0</v>
      </c>
      <c r="AA150" s="167">
        <f t="shared" si="194"/>
        <v>0</v>
      </c>
      <c r="AB150" s="165">
        <v>0</v>
      </c>
      <c r="AC150" s="167">
        <f t="shared" si="195"/>
        <v>0</v>
      </c>
      <c r="AD150" s="165">
        <v>0</v>
      </c>
      <c r="AE150" s="167">
        <f t="shared" si="196"/>
        <v>0</v>
      </c>
      <c r="AF150" s="165">
        <v>0</v>
      </c>
      <c r="AG150" s="167">
        <f t="shared" si="197"/>
        <v>0</v>
      </c>
      <c r="AH150" s="165">
        <v>0</v>
      </c>
      <c r="AI150" s="167">
        <f t="shared" si="198"/>
        <v>0</v>
      </c>
      <c r="AJ150" s="165">
        <v>0</v>
      </c>
      <c r="AK150" s="167">
        <f t="shared" si="199"/>
        <v>0</v>
      </c>
      <c r="AL150" s="165">
        <v>0</v>
      </c>
      <c r="AM150" s="134">
        <f t="shared" si="200"/>
        <v>0</v>
      </c>
      <c r="AN150" s="166">
        <v>0</v>
      </c>
      <c r="AO150" s="153">
        <v>0</v>
      </c>
      <c r="AP150" s="134">
        <f t="shared" si="201"/>
        <v>0</v>
      </c>
      <c r="AQ150" s="166">
        <v>0</v>
      </c>
      <c r="AR150" s="154">
        <v>0</v>
      </c>
      <c r="AS150" s="243">
        <f t="shared" si="202"/>
        <v>0</v>
      </c>
      <c r="AT150" s="165">
        <v>0</v>
      </c>
      <c r="AU150" s="292">
        <v>0</v>
      </c>
      <c r="AV150" s="101"/>
      <c r="AW150" s="210">
        <v>0</v>
      </c>
      <c r="AX150" s="211">
        <v>0</v>
      </c>
      <c r="AY150" s="167">
        <f t="shared" si="203"/>
        <v>0</v>
      </c>
      <c r="AZ150" s="101"/>
      <c r="BA150" s="103">
        <f t="shared" si="191"/>
        <v>0</v>
      </c>
    </row>
    <row r="151" spans="1:53" s="102" customFormat="1" ht="51">
      <c r="A151" s="256"/>
      <c r="B151" s="256"/>
      <c r="C151" s="256"/>
      <c r="D151" s="256"/>
      <c r="E151" s="256"/>
      <c r="F151" s="145" t="s">
        <v>23</v>
      </c>
      <c r="G151" s="179">
        <v>0</v>
      </c>
      <c r="H151" s="179">
        <v>0</v>
      </c>
      <c r="I151" s="180">
        <v>0</v>
      </c>
      <c r="J151" s="180">
        <v>0</v>
      </c>
      <c r="K151" s="180">
        <v>0</v>
      </c>
      <c r="L151" s="165">
        <v>0</v>
      </c>
      <c r="M151" s="165">
        <v>0</v>
      </c>
      <c r="N151" s="165">
        <v>0</v>
      </c>
      <c r="O151" s="165">
        <v>0</v>
      </c>
      <c r="P151" s="165">
        <v>0</v>
      </c>
      <c r="Q151" s="165">
        <v>0</v>
      </c>
      <c r="R151" s="165">
        <v>0</v>
      </c>
      <c r="S151" s="166">
        <v>0</v>
      </c>
      <c r="T151" s="165">
        <v>0</v>
      </c>
      <c r="U151" s="167">
        <v>0</v>
      </c>
      <c r="V151" s="165">
        <v>0</v>
      </c>
      <c r="W151" s="167">
        <f t="shared" si="192"/>
        <v>0</v>
      </c>
      <c r="X151" s="165">
        <v>0</v>
      </c>
      <c r="Y151" s="167">
        <f t="shared" si="193"/>
        <v>0</v>
      </c>
      <c r="Z151" s="165">
        <v>0</v>
      </c>
      <c r="AA151" s="167">
        <f t="shared" si="194"/>
        <v>0</v>
      </c>
      <c r="AB151" s="165">
        <v>0</v>
      </c>
      <c r="AC151" s="167">
        <f t="shared" si="195"/>
        <v>0</v>
      </c>
      <c r="AD151" s="165">
        <v>0</v>
      </c>
      <c r="AE151" s="167">
        <f t="shared" si="196"/>
        <v>0</v>
      </c>
      <c r="AF151" s="165">
        <v>0</v>
      </c>
      <c r="AG151" s="167">
        <f t="shared" si="197"/>
        <v>0</v>
      </c>
      <c r="AH151" s="165">
        <v>0</v>
      </c>
      <c r="AI151" s="167">
        <f t="shared" si="198"/>
        <v>0</v>
      </c>
      <c r="AJ151" s="165">
        <v>0</v>
      </c>
      <c r="AK151" s="167">
        <f t="shared" si="199"/>
        <v>0</v>
      </c>
      <c r="AL151" s="165">
        <v>0</v>
      </c>
      <c r="AM151" s="134">
        <f t="shared" si="200"/>
        <v>0</v>
      </c>
      <c r="AN151" s="166">
        <v>0</v>
      </c>
      <c r="AO151" s="153">
        <v>0</v>
      </c>
      <c r="AP151" s="134">
        <f t="shared" si="201"/>
        <v>0</v>
      </c>
      <c r="AQ151" s="166">
        <v>0</v>
      </c>
      <c r="AR151" s="154">
        <v>0</v>
      </c>
      <c r="AS151" s="243">
        <f t="shared" si="202"/>
        <v>0</v>
      </c>
      <c r="AT151" s="165">
        <v>0</v>
      </c>
      <c r="AU151" s="292">
        <v>0</v>
      </c>
      <c r="AV151" s="101"/>
      <c r="AW151" s="210">
        <v>0</v>
      </c>
      <c r="AX151" s="211">
        <v>0</v>
      </c>
      <c r="AY151" s="167">
        <f t="shared" si="203"/>
        <v>0</v>
      </c>
      <c r="AZ151" s="101"/>
      <c r="BA151" s="103">
        <f t="shared" si="191"/>
        <v>0</v>
      </c>
    </row>
    <row r="152" spans="1:53" s="102" customFormat="1" ht="38.25">
      <c r="A152" s="256"/>
      <c r="B152" s="256"/>
      <c r="C152" s="256"/>
      <c r="D152" s="256"/>
      <c r="E152" s="256"/>
      <c r="F152" s="145" t="s">
        <v>44</v>
      </c>
      <c r="G152" s="179">
        <v>0</v>
      </c>
      <c r="H152" s="179">
        <v>0</v>
      </c>
      <c r="I152" s="180">
        <v>0</v>
      </c>
      <c r="J152" s="180">
        <v>0</v>
      </c>
      <c r="K152" s="180">
        <v>0</v>
      </c>
      <c r="L152" s="165">
        <v>0</v>
      </c>
      <c r="M152" s="165">
        <v>0</v>
      </c>
      <c r="N152" s="165">
        <v>0</v>
      </c>
      <c r="O152" s="165">
        <v>0</v>
      </c>
      <c r="P152" s="165">
        <v>0</v>
      </c>
      <c r="Q152" s="165">
        <v>0</v>
      </c>
      <c r="R152" s="165">
        <v>0</v>
      </c>
      <c r="S152" s="166">
        <v>0</v>
      </c>
      <c r="T152" s="165">
        <v>0</v>
      </c>
      <c r="U152" s="167">
        <v>0</v>
      </c>
      <c r="V152" s="165">
        <v>0</v>
      </c>
      <c r="W152" s="167">
        <f t="shared" si="192"/>
        <v>0</v>
      </c>
      <c r="X152" s="165">
        <v>0</v>
      </c>
      <c r="Y152" s="167">
        <f t="shared" si="193"/>
        <v>0</v>
      </c>
      <c r="Z152" s="165">
        <v>0</v>
      </c>
      <c r="AA152" s="167">
        <f t="shared" si="194"/>
        <v>0</v>
      </c>
      <c r="AB152" s="165">
        <v>0</v>
      </c>
      <c r="AC152" s="167">
        <f t="shared" si="195"/>
        <v>0</v>
      </c>
      <c r="AD152" s="165">
        <v>0</v>
      </c>
      <c r="AE152" s="167">
        <f t="shared" si="196"/>
        <v>0</v>
      </c>
      <c r="AF152" s="165">
        <v>0</v>
      </c>
      <c r="AG152" s="167">
        <f t="shared" si="197"/>
        <v>0</v>
      </c>
      <c r="AH152" s="165">
        <v>0</v>
      </c>
      <c r="AI152" s="167">
        <f t="shared" si="198"/>
        <v>0</v>
      </c>
      <c r="AJ152" s="165">
        <v>0</v>
      </c>
      <c r="AK152" s="167">
        <f t="shared" si="199"/>
        <v>0</v>
      </c>
      <c r="AL152" s="165">
        <v>0</v>
      </c>
      <c r="AM152" s="134">
        <f t="shared" si="200"/>
        <v>0</v>
      </c>
      <c r="AN152" s="166">
        <v>0</v>
      </c>
      <c r="AO152" s="153">
        <v>0</v>
      </c>
      <c r="AP152" s="134">
        <f t="shared" si="201"/>
        <v>0</v>
      </c>
      <c r="AQ152" s="166">
        <v>0</v>
      </c>
      <c r="AR152" s="154">
        <v>0</v>
      </c>
      <c r="AS152" s="243">
        <f t="shared" si="202"/>
        <v>0</v>
      </c>
      <c r="AT152" s="165">
        <v>0</v>
      </c>
      <c r="AU152" s="292">
        <v>0</v>
      </c>
      <c r="AV152" s="101"/>
      <c r="AW152" s="210">
        <v>0</v>
      </c>
      <c r="AX152" s="211">
        <v>0</v>
      </c>
      <c r="AY152" s="167">
        <f t="shared" si="203"/>
        <v>0</v>
      </c>
      <c r="AZ152" s="101"/>
      <c r="BA152" s="103">
        <f t="shared" si="191"/>
        <v>0</v>
      </c>
    </row>
    <row r="153" spans="1:53" s="102" customFormat="1" ht="409.5">
      <c r="A153" s="124" t="s">
        <v>93</v>
      </c>
      <c r="B153" s="124">
        <v>20</v>
      </c>
      <c r="C153" s="145" t="s">
        <v>56</v>
      </c>
      <c r="D153" s="201" t="s">
        <v>194</v>
      </c>
      <c r="E153" s="124" t="s">
        <v>13</v>
      </c>
      <c r="F153" s="128" t="s">
        <v>26</v>
      </c>
      <c r="G153" s="149">
        <f aca="true" t="shared" si="204" ref="G153:T153">SUM(G155:G159)</f>
        <v>7962687.2</v>
      </c>
      <c r="H153" s="149">
        <f t="shared" si="204"/>
        <v>7962687.2</v>
      </c>
      <c r="I153" s="149">
        <f t="shared" si="204"/>
        <v>8107220.7</v>
      </c>
      <c r="J153" s="149">
        <f t="shared" si="204"/>
        <v>7962687.2</v>
      </c>
      <c r="K153" s="149">
        <f t="shared" si="204"/>
        <v>8018077.2</v>
      </c>
      <c r="L153" s="149">
        <f t="shared" si="204"/>
        <v>8018077.2</v>
      </c>
      <c r="M153" s="149">
        <f t="shared" si="204"/>
        <v>7996343.865000001</v>
      </c>
      <c r="N153" s="149">
        <f t="shared" si="204"/>
        <v>7996343.865000001</v>
      </c>
      <c r="O153" s="149">
        <f t="shared" si="204"/>
        <v>7996343.865000001</v>
      </c>
      <c r="P153" s="149">
        <f t="shared" si="204"/>
        <v>7931914.4</v>
      </c>
      <c r="Q153" s="149">
        <f t="shared" si="204"/>
        <v>7931914.4</v>
      </c>
      <c r="R153" s="149">
        <f t="shared" si="204"/>
        <v>8018077.2</v>
      </c>
      <c r="S153" s="152">
        <f t="shared" si="204"/>
        <v>8210036</v>
      </c>
      <c r="T153" s="149">
        <f t="shared" si="204"/>
        <v>301442.8</v>
      </c>
      <c r="U153" s="150">
        <f>SUM(T153/G153*100)</f>
        <v>3.7856918453358306</v>
      </c>
      <c r="V153" s="149">
        <f>SUM(V155:V159)</f>
        <v>638163.2</v>
      </c>
      <c r="W153" s="150">
        <f t="shared" si="192"/>
        <v>8.014420056585921</v>
      </c>
      <c r="X153" s="149">
        <f>SUM(X155:X159)</f>
        <v>1311123.2</v>
      </c>
      <c r="Y153" s="150">
        <f t="shared" si="193"/>
        <v>16.46583831649195</v>
      </c>
      <c r="Z153" s="149">
        <f>SUM(Z155:Z159)</f>
        <v>2909868.1</v>
      </c>
      <c r="AA153" s="150">
        <f t="shared" si="194"/>
        <v>36.29134551111581</v>
      </c>
      <c r="AB153" s="149">
        <f>SUM(AB155:AB159)</f>
        <v>3481336.7</v>
      </c>
      <c r="AC153" s="150">
        <f t="shared" si="195"/>
        <v>43.41859791522087</v>
      </c>
      <c r="AD153" s="149">
        <f>SUM(AD155:AD159)</f>
        <v>4093179.4</v>
      </c>
      <c r="AE153" s="151">
        <f t="shared" si="196"/>
        <v>51.18813634210814</v>
      </c>
      <c r="AF153" s="149">
        <f>SUM(AF155:AF159)</f>
        <v>4732894.4</v>
      </c>
      <c r="AG153" s="150">
        <f t="shared" si="197"/>
        <v>59.18823001992048</v>
      </c>
      <c r="AH153" s="149">
        <f>SUM(AH155:AH159)</f>
        <v>5498472.3</v>
      </c>
      <c r="AI153" s="150">
        <f t="shared" si="198"/>
        <v>68.76232929485204</v>
      </c>
      <c r="AJ153" s="149">
        <f>SUM(AJ155:AJ159)</f>
        <v>6043335.593</v>
      </c>
      <c r="AK153" s="150">
        <f t="shared" si="199"/>
        <v>76.19012621971817</v>
      </c>
      <c r="AL153" s="149">
        <f>SUM(AL155:AL159)</f>
        <v>6892723.5</v>
      </c>
      <c r="AM153" s="150">
        <f t="shared" si="200"/>
        <v>86.89861176514965</v>
      </c>
      <c r="AN153" s="152">
        <f>SUM(AN155:AN159)</f>
        <v>7313788.399999999</v>
      </c>
      <c r="AO153" s="153">
        <f>AN153/I153*100</f>
        <v>90.21326383775391</v>
      </c>
      <c r="AP153" s="150">
        <f t="shared" si="201"/>
        <v>91.21623822728971</v>
      </c>
      <c r="AQ153" s="152">
        <f>SUM(AQ155:AQ159)</f>
        <v>8107123.1</v>
      </c>
      <c r="AR153" s="154">
        <f>AQ153/I153*100</f>
        <v>99.99879613490724</v>
      </c>
      <c r="AS153" s="189">
        <f t="shared" si="202"/>
        <v>98.74649879732561</v>
      </c>
      <c r="AT153" s="190">
        <f>SUM(AT155:AT159)</f>
        <v>8107220.7</v>
      </c>
      <c r="AU153" s="129">
        <f>AT153*100/I153</f>
        <v>100</v>
      </c>
      <c r="AV153" s="215" t="s">
        <v>127</v>
      </c>
      <c r="AW153" s="216">
        <f>SUM(AW155:AW159)</f>
        <v>793328.7</v>
      </c>
      <c r="AX153" s="217">
        <f>SUM(AX155:AX159)</f>
        <v>793334.7</v>
      </c>
      <c r="AY153" s="134">
        <f t="shared" si="203"/>
        <v>100.0007563069381</v>
      </c>
      <c r="AZ153" s="247" t="s">
        <v>225</v>
      </c>
      <c r="BA153" s="103">
        <f t="shared" si="191"/>
        <v>8107123.1</v>
      </c>
    </row>
    <row r="154" spans="1:53" s="102" customFormat="1" ht="25.5">
      <c r="A154" s="256"/>
      <c r="B154" s="256"/>
      <c r="C154" s="256"/>
      <c r="D154" s="256"/>
      <c r="E154" s="256"/>
      <c r="F154" s="136" t="s">
        <v>29</v>
      </c>
      <c r="G154" s="137"/>
      <c r="H154" s="137"/>
      <c r="I154" s="137"/>
      <c r="J154" s="137"/>
      <c r="K154" s="137"/>
      <c r="L154" s="137"/>
      <c r="M154" s="137"/>
      <c r="N154" s="137"/>
      <c r="O154" s="137"/>
      <c r="P154" s="137"/>
      <c r="Q154" s="137"/>
      <c r="R154" s="137"/>
      <c r="S154" s="139"/>
      <c r="T154" s="137"/>
      <c r="U154" s="137"/>
      <c r="V154" s="137"/>
      <c r="W154" s="137"/>
      <c r="X154" s="137"/>
      <c r="Y154" s="137"/>
      <c r="Z154" s="137"/>
      <c r="AA154" s="137"/>
      <c r="AB154" s="137"/>
      <c r="AC154" s="137"/>
      <c r="AD154" s="137"/>
      <c r="AE154" s="138"/>
      <c r="AF154" s="137"/>
      <c r="AG154" s="137"/>
      <c r="AH154" s="137"/>
      <c r="AI154" s="137"/>
      <c r="AJ154" s="137"/>
      <c r="AK154" s="137"/>
      <c r="AL154" s="137"/>
      <c r="AM154" s="137"/>
      <c r="AN154" s="139"/>
      <c r="AO154" s="138"/>
      <c r="AP154" s="137"/>
      <c r="AQ154" s="139"/>
      <c r="AR154" s="140"/>
      <c r="AS154" s="139"/>
      <c r="AT154" s="142"/>
      <c r="AU154" s="143"/>
      <c r="AV154" s="101"/>
      <c r="AW154" s="206"/>
      <c r="AX154" s="207"/>
      <c r="AY154" s="193"/>
      <c r="AZ154" s="101"/>
      <c r="BA154" s="103">
        <f t="shared" si="191"/>
        <v>0</v>
      </c>
    </row>
    <row r="155" spans="1:53" s="102" customFormat="1" ht="38.25">
      <c r="A155" s="256"/>
      <c r="B155" s="256"/>
      <c r="C155" s="256"/>
      <c r="D155" s="256"/>
      <c r="E155" s="256"/>
      <c r="F155" s="145" t="s">
        <v>27</v>
      </c>
      <c r="G155" s="129">
        <v>0</v>
      </c>
      <c r="H155" s="129">
        <v>0</v>
      </c>
      <c r="I155" s="130">
        <v>0</v>
      </c>
      <c r="J155" s="130">
        <v>0</v>
      </c>
      <c r="K155" s="130">
        <v>0</v>
      </c>
      <c r="L155" s="165">
        <v>0</v>
      </c>
      <c r="M155" s="165">
        <v>0</v>
      </c>
      <c r="N155" s="165">
        <v>0</v>
      </c>
      <c r="O155" s="130">
        <f>N155</f>
        <v>0</v>
      </c>
      <c r="P155" s="165">
        <v>0</v>
      </c>
      <c r="Q155" s="165">
        <v>0</v>
      </c>
      <c r="R155" s="165">
        <v>0</v>
      </c>
      <c r="S155" s="166">
        <v>0</v>
      </c>
      <c r="T155" s="165">
        <v>0</v>
      </c>
      <c r="U155" s="164">
        <v>0</v>
      </c>
      <c r="V155" s="165">
        <v>0</v>
      </c>
      <c r="W155" s="164">
        <f>IF(H155=0,0,V155*100/H155)</f>
        <v>0</v>
      </c>
      <c r="X155" s="165">
        <v>0</v>
      </c>
      <c r="Y155" s="164">
        <f>IF(J155=0,0,X155*100/J155)</f>
        <v>0</v>
      </c>
      <c r="Z155" s="165">
        <v>0</v>
      </c>
      <c r="AA155" s="164">
        <f>IF(K155=0,0,Z155*100/K155)</f>
        <v>0</v>
      </c>
      <c r="AB155" s="165">
        <v>0</v>
      </c>
      <c r="AC155" s="164">
        <f>IF(L155=0,0,AB155*100/L155)</f>
        <v>0</v>
      </c>
      <c r="AD155" s="165"/>
      <c r="AE155" s="164">
        <f>IF(O155=0,0,AD155*100/O155)</f>
        <v>0</v>
      </c>
      <c r="AF155" s="165">
        <v>0</v>
      </c>
      <c r="AG155" s="164">
        <f aca="true" t="shared" si="205" ref="AG155:AG160">IF(N155=0,0,AF155*100/N155)</f>
        <v>0</v>
      </c>
      <c r="AH155" s="165">
        <v>0</v>
      </c>
      <c r="AI155" s="164">
        <f aca="true" t="shared" si="206" ref="AI155:AI160">IF(O155=0,0,AH155*100/O155)</f>
        <v>0</v>
      </c>
      <c r="AJ155" s="165">
        <v>0</v>
      </c>
      <c r="AK155" s="164">
        <f aca="true" t="shared" si="207" ref="AK155:AK160">IF(P155=0,0,AJ155*100/P155)</f>
        <v>0</v>
      </c>
      <c r="AL155" s="165">
        <v>0</v>
      </c>
      <c r="AM155" s="153">
        <f aca="true" t="shared" si="208" ref="AM155:AM160">IF(Q155=0,0,AL155*100/Q155)</f>
        <v>0</v>
      </c>
      <c r="AN155" s="166">
        <v>0</v>
      </c>
      <c r="AO155" s="153">
        <v>0</v>
      </c>
      <c r="AP155" s="153">
        <f aca="true" t="shared" si="209" ref="AP155:AP160">IF(R155=0,0,AN155*100/R155)</f>
        <v>0</v>
      </c>
      <c r="AQ155" s="166">
        <v>0</v>
      </c>
      <c r="AR155" s="154">
        <v>0</v>
      </c>
      <c r="AS155" s="154">
        <f aca="true" t="shared" si="210" ref="AS155:AS160">IF(S155=0,0,AQ155*100/S155)</f>
        <v>0</v>
      </c>
      <c r="AT155" s="165">
        <v>0</v>
      </c>
      <c r="AU155" s="129">
        <v>0</v>
      </c>
      <c r="AV155" s="101"/>
      <c r="AW155" s="208">
        <v>0</v>
      </c>
      <c r="AX155" s="209">
        <v>0</v>
      </c>
      <c r="AY155" s="167">
        <f aca="true" t="shared" si="211" ref="AY155:AY160">IF(AW155=0,0,AX155*100/AW155)</f>
        <v>0</v>
      </c>
      <c r="AZ155" s="101"/>
      <c r="BA155" s="103">
        <f t="shared" si="191"/>
        <v>0</v>
      </c>
    </row>
    <row r="156" spans="1:53" s="102" customFormat="1" ht="51">
      <c r="A156" s="256"/>
      <c r="B156" s="256"/>
      <c r="C156" s="256"/>
      <c r="D156" s="256"/>
      <c r="E156" s="256"/>
      <c r="F156" s="145" t="s">
        <v>30</v>
      </c>
      <c r="G156" s="129">
        <v>7962433.7</v>
      </c>
      <c r="H156" s="129">
        <v>7962433.7</v>
      </c>
      <c r="I156" s="130">
        <v>8106967.2</v>
      </c>
      <c r="J156" s="130">
        <v>7962433.7</v>
      </c>
      <c r="K156" s="130">
        <v>8017823.7</v>
      </c>
      <c r="L156" s="130">
        <v>8017823.7</v>
      </c>
      <c r="M156" s="130">
        <v>7996090.365000001</v>
      </c>
      <c r="N156" s="130">
        <v>7996090.365000001</v>
      </c>
      <c r="O156" s="130">
        <f>N156</f>
        <v>7996090.365000001</v>
      </c>
      <c r="P156" s="165">
        <v>7931660.9</v>
      </c>
      <c r="Q156" s="165">
        <v>7931660.9</v>
      </c>
      <c r="R156" s="165">
        <v>8017823.7</v>
      </c>
      <c r="S156" s="166">
        <v>8209782.5</v>
      </c>
      <c r="T156" s="165">
        <v>301442.8</v>
      </c>
      <c r="U156" s="164">
        <f>SUM(T156/G156*100)</f>
        <v>3.785812370406299</v>
      </c>
      <c r="V156" s="165">
        <v>638163.2</v>
      </c>
      <c r="W156" s="164">
        <f>IF(H156=0,0,V156*100/H156)</f>
        <v>8.014675211675545</v>
      </c>
      <c r="X156" s="165">
        <v>1311123.2</v>
      </c>
      <c r="Y156" s="164">
        <f>IF(J156=0,0,X156*100/J156)</f>
        <v>16.466362539382903</v>
      </c>
      <c r="Z156" s="165">
        <v>2909868.1</v>
      </c>
      <c r="AA156" s="164">
        <f>IF(K156=0,0,Z156*100/K156)</f>
        <v>36.29249293670551</v>
      </c>
      <c r="AB156" s="165">
        <v>3481336.2</v>
      </c>
      <c r="AC156" s="164">
        <f>IF(L156=0,0,AB156*100/L156)</f>
        <v>43.419964447459726</v>
      </c>
      <c r="AD156" s="165">
        <v>4093178.9</v>
      </c>
      <c r="AE156" s="164">
        <f>IF(O156=0,0,AD156*100/O156)</f>
        <v>51.18975290620042</v>
      </c>
      <c r="AF156" s="165">
        <v>4732879.9</v>
      </c>
      <c r="AG156" s="164">
        <f t="shared" si="205"/>
        <v>59.18992512536469</v>
      </c>
      <c r="AH156" s="165">
        <v>5498446.6</v>
      </c>
      <c r="AI156" s="164">
        <f t="shared" si="206"/>
        <v>68.76418785945023</v>
      </c>
      <c r="AJ156" s="165">
        <v>6043273.4</v>
      </c>
      <c r="AK156" s="164">
        <f t="shared" si="207"/>
        <v>76.19177718502817</v>
      </c>
      <c r="AL156" s="165">
        <v>6892584.8</v>
      </c>
      <c r="AM156" s="153">
        <f t="shared" si="208"/>
        <v>86.89964040192389</v>
      </c>
      <c r="AN156" s="166">
        <v>7313570.6</v>
      </c>
      <c r="AO156" s="153">
        <f>AN156/I156*100</f>
        <v>90.21339817435057</v>
      </c>
      <c r="AP156" s="153">
        <f t="shared" si="209"/>
        <v>91.21640576856285</v>
      </c>
      <c r="AQ156" s="166">
        <v>8106886.3</v>
      </c>
      <c r="AR156" s="154">
        <f>AQ156/I156*100</f>
        <v>99.99900209291582</v>
      </c>
      <c r="AS156" s="154">
        <f t="shared" si="210"/>
        <v>98.74666350783349</v>
      </c>
      <c r="AT156" s="165">
        <v>8106967.2</v>
      </c>
      <c r="AU156" s="129">
        <f>AT156*100/I156</f>
        <v>100</v>
      </c>
      <c r="AV156" s="101"/>
      <c r="AW156" s="210">
        <v>793328.6</v>
      </c>
      <c r="AX156" s="211">
        <v>793315.7</v>
      </c>
      <c r="AY156" s="167">
        <f t="shared" si="211"/>
        <v>99.99837393987814</v>
      </c>
      <c r="AZ156" s="101"/>
      <c r="BA156" s="103">
        <f t="shared" si="191"/>
        <v>8106886.3</v>
      </c>
    </row>
    <row r="157" spans="1:53" s="102" customFormat="1" ht="63.75">
      <c r="A157" s="256"/>
      <c r="B157" s="256"/>
      <c r="C157" s="256"/>
      <c r="D157" s="256"/>
      <c r="E157" s="256"/>
      <c r="F157" s="145" t="s">
        <v>38</v>
      </c>
      <c r="G157" s="129">
        <v>253.5</v>
      </c>
      <c r="H157" s="129">
        <v>253.5</v>
      </c>
      <c r="I157" s="130">
        <v>253.5</v>
      </c>
      <c r="J157" s="130">
        <v>253.5</v>
      </c>
      <c r="K157" s="130">
        <v>253.5</v>
      </c>
      <c r="L157" s="130">
        <v>253.5</v>
      </c>
      <c r="M157" s="130">
        <v>253.5</v>
      </c>
      <c r="N157" s="130">
        <v>253.5</v>
      </c>
      <c r="O157" s="130">
        <f>N157</f>
        <v>253.5</v>
      </c>
      <c r="P157" s="165">
        <v>253.5</v>
      </c>
      <c r="Q157" s="165">
        <v>253.5</v>
      </c>
      <c r="R157" s="165">
        <v>253.5</v>
      </c>
      <c r="S157" s="166">
        <v>253.5</v>
      </c>
      <c r="T157" s="165">
        <v>0</v>
      </c>
      <c r="U157" s="164">
        <f>SUM(T157/G157*100)</f>
        <v>0</v>
      </c>
      <c r="V157" s="165">
        <v>0</v>
      </c>
      <c r="W157" s="164">
        <f>IF(H157=0,0,V157*100/H157)</f>
        <v>0</v>
      </c>
      <c r="X157" s="165">
        <v>0</v>
      </c>
      <c r="Y157" s="164">
        <f>IF(J157=0,0,X157*100/J157)</f>
        <v>0</v>
      </c>
      <c r="Z157" s="165">
        <v>0</v>
      </c>
      <c r="AA157" s="164">
        <f>IF(K157=0,0,Z157*100/K157)</f>
        <v>0</v>
      </c>
      <c r="AB157" s="165">
        <v>0.5</v>
      </c>
      <c r="AC157" s="164">
        <f>IF(L157=0,0,AB157*100/L157)</f>
        <v>0.19723865877712032</v>
      </c>
      <c r="AD157" s="165">
        <v>0.5</v>
      </c>
      <c r="AE157" s="164">
        <f>IF(O157=0,0,AD157*100/O157)</f>
        <v>0.19723865877712032</v>
      </c>
      <c r="AF157" s="165">
        <v>14.5</v>
      </c>
      <c r="AG157" s="164">
        <f t="shared" si="205"/>
        <v>5.719921104536489</v>
      </c>
      <c r="AH157" s="165">
        <v>25.7</v>
      </c>
      <c r="AI157" s="164">
        <f t="shared" si="206"/>
        <v>10.138067061143984</v>
      </c>
      <c r="AJ157" s="165">
        <v>62.193</v>
      </c>
      <c r="AK157" s="164">
        <f t="shared" si="207"/>
        <v>24.533727810650888</v>
      </c>
      <c r="AL157" s="165">
        <v>138.7</v>
      </c>
      <c r="AM157" s="153">
        <f t="shared" si="208"/>
        <v>54.71400394477317</v>
      </c>
      <c r="AN157" s="166">
        <v>217.8</v>
      </c>
      <c r="AO157" s="153">
        <f>AN157/I157*100</f>
        <v>85.9171597633136</v>
      </c>
      <c r="AP157" s="153">
        <f t="shared" si="209"/>
        <v>85.9171597633136</v>
      </c>
      <c r="AQ157" s="166">
        <v>236.8</v>
      </c>
      <c r="AR157" s="154">
        <f>AQ157/I157*100</f>
        <v>93.41222879684419</v>
      </c>
      <c r="AS157" s="154">
        <f t="shared" si="210"/>
        <v>93.41222879684418</v>
      </c>
      <c r="AT157" s="165">
        <v>253.5</v>
      </c>
      <c r="AU157" s="129">
        <f>AT157*100/I157</f>
        <v>100</v>
      </c>
      <c r="AV157" s="101"/>
      <c r="AW157" s="210">
        <v>0.1</v>
      </c>
      <c r="AX157" s="248">
        <v>19</v>
      </c>
      <c r="AY157" s="167">
        <f t="shared" si="211"/>
        <v>19000</v>
      </c>
      <c r="AZ157" s="101"/>
      <c r="BA157" s="103">
        <f t="shared" si="191"/>
        <v>236.8</v>
      </c>
    </row>
    <row r="158" spans="1:53" s="102" customFormat="1" ht="51">
      <c r="A158" s="256"/>
      <c r="B158" s="256"/>
      <c r="C158" s="256"/>
      <c r="D158" s="256"/>
      <c r="E158" s="256"/>
      <c r="F158" s="145" t="s">
        <v>23</v>
      </c>
      <c r="G158" s="129">
        <v>0</v>
      </c>
      <c r="H158" s="129">
        <v>0</v>
      </c>
      <c r="I158" s="130">
        <v>0</v>
      </c>
      <c r="J158" s="130">
        <v>0</v>
      </c>
      <c r="K158" s="130">
        <v>0</v>
      </c>
      <c r="L158" s="165">
        <v>0</v>
      </c>
      <c r="M158" s="165">
        <v>0</v>
      </c>
      <c r="N158" s="165">
        <v>0</v>
      </c>
      <c r="O158" s="130">
        <f>N158</f>
        <v>0</v>
      </c>
      <c r="P158" s="165">
        <v>0</v>
      </c>
      <c r="Q158" s="165">
        <v>0</v>
      </c>
      <c r="R158" s="165">
        <v>0</v>
      </c>
      <c r="S158" s="166">
        <v>0</v>
      </c>
      <c r="T158" s="165">
        <v>0</v>
      </c>
      <c r="U158" s="164">
        <v>0</v>
      </c>
      <c r="V158" s="165">
        <v>0</v>
      </c>
      <c r="W158" s="164">
        <f>IF(H158=0,0,V158*100/H158)</f>
        <v>0</v>
      </c>
      <c r="X158" s="165">
        <v>0</v>
      </c>
      <c r="Y158" s="164">
        <f>IF(J158=0,0,X158*100/J158)</f>
        <v>0</v>
      </c>
      <c r="Z158" s="165">
        <v>0</v>
      </c>
      <c r="AA158" s="164">
        <f>IF(K158=0,0,Z158*100/K158)</f>
        <v>0</v>
      </c>
      <c r="AB158" s="165">
        <v>0</v>
      </c>
      <c r="AC158" s="164">
        <f>IF(L158=0,0,AB158*100/L158)</f>
        <v>0</v>
      </c>
      <c r="AD158" s="165">
        <v>0</v>
      </c>
      <c r="AE158" s="164">
        <f>IF(O158=0,0,AD158*100/O158)</f>
        <v>0</v>
      </c>
      <c r="AF158" s="165">
        <v>0</v>
      </c>
      <c r="AG158" s="164">
        <f t="shared" si="205"/>
        <v>0</v>
      </c>
      <c r="AH158" s="165">
        <v>0</v>
      </c>
      <c r="AI158" s="164">
        <f t="shared" si="206"/>
        <v>0</v>
      </c>
      <c r="AJ158" s="165">
        <v>0</v>
      </c>
      <c r="AK158" s="164">
        <f t="shared" si="207"/>
        <v>0</v>
      </c>
      <c r="AL158" s="165">
        <v>0</v>
      </c>
      <c r="AM158" s="153">
        <f t="shared" si="208"/>
        <v>0</v>
      </c>
      <c r="AN158" s="166">
        <v>0</v>
      </c>
      <c r="AO158" s="153">
        <v>0</v>
      </c>
      <c r="AP158" s="153">
        <f t="shared" si="209"/>
        <v>0</v>
      </c>
      <c r="AQ158" s="166">
        <v>0</v>
      </c>
      <c r="AR158" s="154">
        <v>0</v>
      </c>
      <c r="AS158" s="154">
        <f t="shared" si="210"/>
        <v>0</v>
      </c>
      <c r="AT158" s="165">
        <v>0</v>
      </c>
      <c r="AU158" s="129">
        <v>0</v>
      </c>
      <c r="AV158" s="101"/>
      <c r="AW158" s="210">
        <v>0</v>
      </c>
      <c r="AX158" s="211">
        <v>0</v>
      </c>
      <c r="AY158" s="167">
        <f t="shared" si="211"/>
        <v>0</v>
      </c>
      <c r="AZ158" s="101"/>
      <c r="BA158" s="103">
        <f t="shared" si="191"/>
        <v>0</v>
      </c>
    </row>
    <row r="159" spans="1:53" s="102" customFormat="1" ht="38.25">
      <c r="A159" s="256"/>
      <c r="B159" s="256"/>
      <c r="C159" s="256"/>
      <c r="D159" s="256"/>
      <c r="E159" s="256"/>
      <c r="F159" s="145" t="s">
        <v>44</v>
      </c>
      <c r="G159" s="129">
        <v>0</v>
      </c>
      <c r="H159" s="129">
        <v>0</v>
      </c>
      <c r="I159" s="130">
        <v>0</v>
      </c>
      <c r="J159" s="130">
        <v>0</v>
      </c>
      <c r="K159" s="130">
        <v>0</v>
      </c>
      <c r="L159" s="165">
        <v>0</v>
      </c>
      <c r="M159" s="165">
        <v>0</v>
      </c>
      <c r="N159" s="165">
        <v>0</v>
      </c>
      <c r="O159" s="130">
        <f>N159</f>
        <v>0</v>
      </c>
      <c r="P159" s="165">
        <v>0</v>
      </c>
      <c r="Q159" s="165">
        <v>0</v>
      </c>
      <c r="R159" s="165">
        <v>0</v>
      </c>
      <c r="S159" s="166">
        <v>0</v>
      </c>
      <c r="T159" s="165">
        <v>0</v>
      </c>
      <c r="U159" s="164">
        <v>0</v>
      </c>
      <c r="V159" s="165">
        <v>0</v>
      </c>
      <c r="W159" s="164">
        <f>IF(H159=0,0,V159*100/H159)</f>
        <v>0</v>
      </c>
      <c r="X159" s="165">
        <v>0</v>
      </c>
      <c r="Y159" s="164">
        <f>IF(J159=0,0,X159*100/J159)</f>
        <v>0</v>
      </c>
      <c r="Z159" s="165">
        <v>0</v>
      </c>
      <c r="AA159" s="164">
        <f>IF(K159=0,0,Z159*100/K159)</f>
        <v>0</v>
      </c>
      <c r="AB159" s="165">
        <v>0</v>
      </c>
      <c r="AC159" s="164">
        <f>IF(L159=0,0,AB159*100/L159)</f>
        <v>0</v>
      </c>
      <c r="AD159" s="165">
        <v>0</v>
      </c>
      <c r="AE159" s="164">
        <f>IF(O159=0,0,AD159*100/O159)</f>
        <v>0</v>
      </c>
      <c r="AF159" s="165">
        <v>0</v>
      </c>
      <c r="AG159" s="164">
        <f t="shared" si="205"/>
        <v>0</v>
      </c>
      <c r="AH159" s="165">
        <v>0</v>
      </c>
      <c r="AI159" s="164">
        <f t="shared" si="206"/>
        <v>0</v>
      </c>
      <c r="AJ159" s="165">
        <v>0</v>
      </c>
      <c r="AK159" s="164">
        <f t="shared" si="207"/>
        <v>0</v>
      </c>
      <c r="AL159" s="165">
        <v>0</v>
      </c>
      <c r="AM159" s="153">
        <f t="shared" si="208"/>
        <v>0</v>
      </c>
      <c r="AN159" s="166">
        <v>0</v>
      </c>
      <c r="AO159" s="153">
        <v>0</v>
      </c>
      <c r="AP159" s="153">
        <f t="shared" si="209"/>
        <v>0</v>
      </c>
      <c r="AQ159" s="166">
        <v>0</v>
      </c>
      <c r="AR159" s="154">
        <v>0</v>
      </c>
      <c r="AS159" s="154">
        <f t="shared" si="210"/>
        <v>0</v>
      </c>
      <c r="AT159" s="165">
        <v>0</v>
      </c>
      <c r="AU159" s="129">
        <v>0</v>
      </c>
      <c r="AV159" s="101"/>
      <c r="AW159" s="210">
        <v>0</v>
      </c>
      <c r="AX159" s="211">
        <v>0</v>
      </c>
      <c r="AY159" s="167">
        <f t="shared" si="211"/>
        <v>0</v>
      </c>
      <c r="AZ159" s="101"/>
      <c r="BA159" s="103">
        <f t="shared" si="191"/>
        <v>0</v>
      </c>
    </row>
    <row r="160" spans="1:53" s="102" customFormat="1" ht="409.5">
      <c r="A160" s="109" t="s">
        <v>47</v>
      </c>
      <c r="B160" s="109">
        <v>21</v>
      </c>
      <c r="C160" s="226" t="s">
        <v>57</v>
      </c>
      <c r="D160" s="109" t="s">
        <v>177</v>
      </c>
      <c r="E160" s="109" t="s">
        <v>94</v>
      </c>
      <c r="F160" s="222" t="s">
        <v>26</v>
      </c>
      <c r="G160" s="129">
        <f aca="true" t="shared" si="212" ref="G160:AF160">SUM(G162:G166)</f>
        <v>1142493.4</v>
      </c>
      <c r="H160" s="129">
        <f t="shared" si="212"/>
        <v>1142493.4</v>
      </c>
      <c r="I160" s="129">
        <f t="shared" si="212"/>
        <v>1161090.2</v>
      </c>
      <c r="J160" s="129">
        <f t="shared" si="212"/>
        <v>1151047.4</v>
      </c>
      <c r="K160" s="129">
        <f t="shared" si="212"/>
        <v>1151047.4</v>
      </c>
      <c r="L160" s="129">
        <f t="shared" si="212"/>
        <v>1151047.4</v>
      </c>
      <c r="M160" s="129">
        <f t="shared" si="212"/>
        <v>1151047.4</v>
      </c>
      <c r="N160" s="129">
        <f t="shared" si="212"/>
        <v>1134451.2</v>
      </c>
      <c r="O160" s="129">
        <f t="shared" si="212"/>
        <v>1161047.4</v>
      </c>
      <c r="P160" s="129">
        <f t="shared" si="212"/>
        <v>1161047.4</v>
      </c>
      <c r="Q160" s="129">
        <f t="shared" si="212"/>
        <v>1161047.4</v>
      </c>
      <c r="R160" s="129">
        <f t="shared" si="212"/>
        <v>1161047.4</v>
      </c>
      <c r="S160" s="133">
        <f t="shared" si="212"/>
        <v>1184186.4</v>
      </c>
      <c r="T160" s="129">
        <f t="shared" si="212"/>
        <v>22937.3</v>
      </c>
      <c r="U160" s="129">
        <f t="shared" si="212"/>
        <v>2.007652735674447</v>
      </c>
      <c r="V160" s="129">
        <f t="shared" si="212"/>
        <v>107082.7</v>
      </c>
      <c r="W160" s="129">
        <f t="shared" si="212"/>
        <v>9.372719352251838</v>
      </c>
      <c r="X160" s="129">
        <f t="shared" si="212"/>
        <v>188971.1</v>
      </c>
      <c r="Y160" s="129">
        <f t="shared" si="212"/>
        <v>16.417316958450193</v>
      </c>
      <c r="Z160" s="129">
        <f t="shared" si="212"/>
        <v>310939.8</v>
      </c>
      <c r="AA160" s="129">
        <f t="shared" si="212"/>
        <v>27.013639924819778</v>
      </c>
      <c r="AB160" s="129">
        <f t="shared" si="212"/>
        <v>400645.8</v>
      </c>
      <c r="AC160" s="129">
        <f t="shared" si="212"/>
        <v>34.807063549250884</v>
      </c>
      <c r="AD160" s="129">
        <f t="shared" si="212"/>
        <v>501506.1</v>
      </c>
      <c r="AE160" s="129">
        <f t="shared" si="212"/>
        <v>43.56954370428186</v>
      </c>
      <c r="AF160" s="129">
        <f t="shared" si="212"/>
        <v>596478.7</v>
      </c>
      <c r="AG160" s="153">
        <f t="shared" si="205"/>
        <v>52.5786124603685</v>
      </c>
      <c r="AH160" s="129">
        <f>SUM(AH162:AH166)</f>
        <v>682040.8</v>
      </c>
      <c r="AI160" s="153">
        <f t="shared" si="206"/>
        <v>58.74357928883869</v>
      </c>
      <c r="AJ160" s="129">
        <f>SUM(AJ162:AJ166)</f>
        <v>772796</v>
      </c>
      <c r="AK160" s="153">
        <f t="shared" si="207"/>
        <v>66.5602455162468</v>
      </c>
      <c r="AL160" s="129">
        <f>SUM(AL162:AL166)</f>
        <v>885384.7</v>
      </c>
      <c r="AM160" s="153">
        <f t="shared" si="208"/>
        <v>76.25741205742332</v>
      </c>
      <c r="AN160" s="133">
        <f>SUM(AN162:AN166)</f>
        <v>953438.6</v>
      </c>
      <c r="AO160" s="153">
        <f>AN160/I160*100</f>
        <v>82.1158080569451</v>
      </c>
      <c r="AP160" s="153">
        <f t="shared" si="209"/>
        <v>82.1188351138808</v>
      </c>
      <c r="AQ160" s="133">
        <f>SUM(AQ162:AQ166)</f>
        <v>1150808.2</v>
      </c>
      <c r="AR160" s="154">
        <f>AQ160/I160*100</f>
        <v>99.11445295120052</v>
      </c>
      <c r="AS160" s="154">
        <f t="shared" si="210"/>
        <v>97.18133901892473</v>
      </c>
      <c r="AT160" s="130">
        <f>SUM(AT162:AT166)</f>
        <v>1161047.4</v>
      </c>
      <c r="AU160" s="129">
        <f>AT160*100/I160</f>
        <v>99.99631380921137</v>
      </c>
      <c r="AV160" s="213" t="s">
        <v>149</v>
      </c>
      <c r="AW160" s="191">
        <f>SUM(AW162:AW166)</f>
        <v>122538.6</v>
      </c>
      <c r="AX160" s="191">
        <f>SUM(AX162:AX166)</f>
        <v>118874</v>
      </c>
      <c r="AY160" s="134">
        <f t="shared" si="211"/>
        <v>97.00943212995742</v>
      </c>
      <c r="AZ160" s="131"/>
      <c r="BA160" s="103"/>
    </row>
    <row r="161" spans="1:53" s="102" customFormat="1" ht="25.5">
      <c r="A161" s="256"/>
      <c r="B161" s="256"/>
      <c r="C161" s="256"/>
      <c r="D161" s="256"/>
      <c r="E161" s="256"/>
      <c r="F161" s="136" t="s">
        <v>29</v>
      </c>
      <c r="G161" s="137"/>
      <c r="H161" s="137"/>
      <c r="I161" s="137"/>
      <c r="J161" s="137"/>
      <c r="K161" s="137"/>
      <c r="L161" s="137"/>
      <c r="M161" s="137"/>
      <c r="N161" s="137"/>
      <c r="O161" s="137"/>
      <c r="P161" s="137"/>
      <c r="Q161" s="137"/>
      <c r="R161" s="137"/>
      <c r="S161" s="139"/>
      <c r="T161" s="137"/>
      <c r="U161" s="137"/>
      <c r="V161" s="137"/>
      <c r="W161" s="137"/>
      <c r="X161" s="137"/>
      <c r="Y161" s="137"/>
      <c r="Z161" s="137"/>
      <c r="AA161" s="137"/>
      <c r="AB161" s="137"/>
      <c r="AC161" s="137"/>
      <c r="AD161" s="137"/>
      <c r="AE161" s="138"/>
      <c r="AF161" s="137"/>
      <c r="AG161" s="137"/>
      <c r="AH161" s="137"/>
      <c r="AI161" s="137"/>
      <c r="AJ161" s="137"/>
      <c r="AK161" s="137"/>
      <c r="AL161" s="137"/>
      <c r="AM161" s="137"/>
      <c r="AN161" s="139"/>
      <c r="AO161" s="138"/>
      <c r="AP161" s="137"/>
      <c r="AQ161" s="139"/>
      <c r="AR161" s="140"/>
      <c r="AS161" s="139"/>
      <c r="AT161" s="142"/>
      <c r="AU161" s="143"/>
      <c r="AV161" s="101"/>
      <c r="AW161" s="194"/>
      <c r="AX161" s="142"/>
      <c r="AY161" s="193"/>
      <c r="AZ161" s="101"/>
      <c r="BA161" s="103"/>
    </row>
    <row r="162" spans="1:53" s="102" customFormat="1" ht="38.25">
      <c r="A162" s="256"/>
      <c r="B162" s="256"/>
      <c r="C162" s="256"/>
      <c r="D162" s="256"/>
      <c r="E162" s="256"/>
      <c r="F162" s="144" t="s">
        <v>27</v>
      </c>
      <c r="G162" s="179">
        <v>0</v>
      </c>
      <c r="H162" s="179">
        <v>0</v>
      </c>
      <c r="I162" s="180">
        <v>10000</v>
      </c>
      <c r="J162" s="180">
        <v>0</v>
      </c>
      <c r="K162" s="180">
        <v>0</v>
      </c>
      <c r="L162" s="197">
        <v>0</v>
      </c>
      <c r="M162" s="197">
        <v>0</v>
      </c>
      <c r="N162" s="197">
        <v>0</v>
      </c>
      <c r="O162" s="180">
        <v>10000</v>
      </c>
      <c r="P162" s="197">
        <v>10000</v>
      </c>
      <c r="Q162" s="197">
        <v>10000</v>
      </c>
      <c r="R162" s="197">
        <v>10000</v>
      </c>
      <c r="S162" s="198">
        <v>10000</v>
      </c>
      <c r="T162" s="197">
        <v>0</v>
      </c>
      <c r="U162" s="167">
        <v>0</v>
      </c>
      <c r="V162" s="197">
        <v>0</v>
      </c>
      <c r="W162" s="167">
        <f>IF(H162=0,0,V162*100/H162)</f>
        <v>0</v>
      </c>
      <c r="X162" s="197">
        <v>0</v>
      </c>
      <c r="Y162" s="167">
        <f>IF(J162=0,0,X162*100/J162)</f>
        <v>0</v>
      </c>
      <c r="Z162" s="197">
        <v>0</v>
      </c>
      <c r="AA162" s="167">
        <f>IF(K162=0,0,Z162*100/K162)</f>
        <v>0</v>
      </c>
      <c r="AB162" s="197">
        <v>0</v>
      </c>
      <c r="AC162" s="167">
        <f>IF(L162=0,0,AB162*100/L162)</f>
        <v>0</v>
      </c>
      <c r="AD162" s="197"/>
      <c r="AE162" s="167">
        <f>IF(O162=0,0,AD162*100/O162)</f>
        <v>0</v>
      </c>
      <c r="AF162" s="197">
        <v>0</v>
      </c>
      <c r="AG162" s="167">
        <f>IF(N162=0,0,AF162*100/N162)</f>
        <v>0</v>
      </c>
      <c r="AH162" s="197">
        <v>0</v>
      </c>
      <c r="AI162" s="167">
        <f>IF(O162=0,0,AH162*100/O162)</f>
        <v>0</v>
      </c>
      <c r="AJ162" s="197">
        <v>10000</v>
      </c>
      <c r="AK162" s="167">
        <f>AJ162/P162*100</f>
        <v>100</v>
      </c>
      <c r="AL162" s="197">
        <v>10000</v>
      </c>
      <c r="AM162" s="134">
        <f aca="true" t="shared" si="213" ref="AM162:AM167">IF(Q162=0,0,AL162*100/Q162)</f>
        <v>100</v>
      </c>
      <c r="AN162" s="198">
        <v>10000</v>
      </c>
      <c r="AO162" s="153">
        <f>AN162/I162*100</f>
        <v>100</v>
      </c>
      <c r="AP162" s="134">
        <f aca="true" t="shared" si="214" ref="AP162:AP167">IF(R162=0,0,AN162*100/R162)</f>
        <v>100</v>
      </c>
      <c r="AQ162" s="198">
        <v>10000</v>
      </c>
      <c r="AR162" s="154">
        <f>AQ162/I162*100</f>
        <v>100</v>
      </c>
      <c r="AS162" s="243">
        <f aca="true" t="shared" si="215" ref="AS162:AS167">IF(S162=0,0,AQ162*100/S162)</f>
        <v>100</v>
      </c>
      <c r="AT162" s="167">
        <v>10000</v>
      </c>
      <c r="AU162" s="129">
        <f>AT162*100/I162</f>
        <v>100</v>
      </c>
      <c r="AV162" s="101"/>
      <c r="AW162" s="180">
        <v>0</v>
      </c>
      <c r="AX162" s="180">
        <v>0</v>
      </c>
      <c r="AY162" s="167">
        <f aca="true" t="shared" si="216" ref="AY162:AY167">IF(AW162=0,0,AX162*100/AW162)</f>
        <v>0</v>
      </c>
      <c r="AZ162" s="101"/>
      <c r="BA162" s="103"/>
    </row>
    <row r="163" spans="1:53" s="102" customFormat="1" ht="51">
      <c r="A163" s="256"/>
      <c r="B163" s="256"/>
      <c r="C163" s="256"/>
      <c r="D163" s="256"/>
      <c r="E163" s="256"/>
      <c r="F163" s="145" t="s">
        <v>30</v>
      </c>
      <c r="G163" s="179">
        <v>1142493.4</v>
      </c>
      <c r="H163" s="179">
        <v>1142493.4</v>
      </c>
      <c r="I163" s="180">
        <v>1151090.2</v>
      </c>
      <c r="J163" s="180">
        <v>1151047.4</v>
      </c>
      <c r="K163" s="180">
        <v>1151047.4</v>
      </c>
      <c r="L163" s="165">
        <v>1151047.4</v>
      </c>
      <c r="M163" s="165">
        <v>1151047.4</v>
      </c>
      <c r="N163" s="130">
        <v>1134451.2</v>
      </c>
      <c r="O163" s="130">
        <v>1151047.4</v>
      </c>
      <c r="P163" s="165">
        <v>1151047.4</v>
      </c>
      <c r="Q163" s="165">
        <v>1151047.4</v>
      </c>
      <c r="R163" s="165">
        <v>1151047.4</v>
      </c>
      <c r="S163" s="166">
        <v>1174186.4</v>
      </c>
      <c r="T163" s="165">
        <v>22937.3</v>
      </c>
      <c r="U163" s="167">
        <f>SUM(T163/G163*100)</f>
        <v>2.007652735674447</v>
      </c>
      <c r="V163" s="165">
        <v>107082.7</v>
      </c>
      <c r="W163" s="167">
        <f>IF(H163=0,0,V163*100/H163)</f>
        <v>9.372719352251838</v>
      </c>
      <c r="X163" s="165">
        <v>188971.1</v>
      </c>
      <c r="Y163" s="167">
        <f>IF(J163=0,0,X163*100/J163)</f>
        <v>16.417316958450193</v>
      </c>
      <c r="Z163" s="165">
        <v>310939.8</v>
      </c>
      <c r="AA163" s="167">
        <f>IF(K163=0,0,Z163*100/K163)</f>
        <v>27.013639924819778</v>
      </c>
      <c r="AB163" s="165">
        <v>400645.8</v>
      </c>
      <c r="AC163" s="167">
        <f>AB163/K163*100</f>
        <v>34.807063549250884</v>
      </c>
      <c r="AD163" s="165">
        <v>501506.1</v>
      </c>
      <c r="AE163" s="167">
        <f>IF(O163=0,0,AD163*100/O163)</f>
        <v>43.56954370428186</v>
      </c>
      <c r="AF163" s="165">
        <v>596478.7</v>
      </c>
      <c r="AG163" s="167">
        <f>IF(N163=0,0,AF163*100/N163)</f>
        <v>52.5786124603685</v>
      </c>
      <c r="AH163" s="165">
        <v>682040.8</v>
      </c>
      <c r="AI163" s="167">
        <f>IF(O163=0,0,AH163*100/O163)</f>
        <v>59.253928204868025</v>
      </c>
      <c r="AJ163" s="165">
        <v>762796</v>
      </c>
      <c r="AK163" s="167">
        <f>IF(P163=0,0,AJ163*100/P163)</f>
        <v>66.26972963928333</v>
      </c>
      <c r="AL163" s="165">
        <v>875384.7</v>
      </c>
      <c r="AM163" s="134">
        <f t="shared" si="213"/>
        <v>76.05114263756646</v>
      </c>
      <c r="AN163" s="166">
        <v>943438.6</v>
      </c>
      <c r="AO163" s="153">
        <f>AN163/I163*100</f>
        <v>81.96044063271498</v>
      </c>
      <c r="AP163" s="134">
        <f t="shared" si="214"/>
        <v>81.96348821082434</v>
      </c>
      <c r="AQ163" s="166">
        <v>1140808.2</v>
      </c>
      <c r="AR163" s="154">
        <f>AQ163/I163*100</f>
        <v>99.10675983515453</v>
      </c>
      <c r="AS163" s="243">
        <f t="shared" si="215"/>
        <v>97.15733379299914</v>
      </c>
      <c r="AT163" s="164">
        <v>1151047.4</v>
      </c>
      <c r="AU163" s="129">
        <f>AT163*100/I163</f>
        <v>99.99628178573668</v>
      </c>
      <c r="AV163" s="101"/>
      <c r="AW163" s="180">
        <v>122538.6</v>
      </c>
      <c r="AX163" s="180">
        <v>118874</v>
      </c>
      <c r="AY163" s="167">
        <f t="shared" si="216"/>
        <v>97.00943212995742</v>
      </c>
      <c r="AZ163" s="101"/>
      <c r="BA163" s="103"/>
    </row>
    <row r="164" spans="1:53" s="102" customFormat="1" ht="63.75">
      <c r="A164" s="256"/>
      <c r="B164" s="256"/>
      <c r="C164" s="256"/>
      <c r="D164" s="256"/>
      <c r="E164" s="256"/>
      <c r="F164" s="145" t="s">
        <v>38</v>
      </c>
      <c r="G164" s="179">
        <v>0</v>
      </c>
      <c r="H164" s="179">
        <v>0</v>
      </c>
      <c r="I164" s="180">
        <v>0</v>
      </c>
      <c r="J164" s="180">
        <v>0</v>
      </c>
      <c r="K164" s="180">
        <v>0</v>
      </c>
      <c r="L164" s="165">
        <v>0</v>
      </c>
      <c r="M164" s="165">
        <v>0</v>
      </c>
      <c r="N164" s="165">
        <v>0</v>
      </c>
      <c r="O164" s="130">
        <f>N164</f>
        <v>0</v>
      </c>
      <c r="P164" s="165">
        <v>0</v>
      </c>
      <c r="Q164" s="165">
        <v>0</v>
      </c>
      <c r="R164" s="165">
        <v>0</v>
      </c>
      <c r="S164" s="166">
        <v>0</v>
      </c>
      <c r="T164" s="165">
        <v>0</v>
      </c>
      <c r="U164" s="167">
        <v>0</v>
      </c>
      <c r="V164" s="165">
        <v>0</v>
      </c>
      <c r="W164" s="167">
        <f>IF(H164=0,0,V164*100/H164)</f>
        <v>0</v>
      </c>
      <c r="X164" s="165">
        <v>0</v>
      </c>
      <c r="Y164" s="167">
        <f>IF(J164=0,0,X164*100/J164)</f>
        <v>0</v>
      </c>
      <c r="Z164" s="165">
        <v>0</v>
      </c>
      <c r="AA164" s="167">
        <f>IF(K164=0,0,Z164*100/K164)</f>
        <v>0</v>
      </c>
      <c r="AB164" s="165">
        <v>0</v>
      </c>
      <c r="AC164" s="167">
        <f>IF(L164=0,0,AB164*100/L164)</f>
        <v>0</v>
      </c>
      <c r="AD164" s="165"/>
      <c r="AE164" s="167">
        <f>IF(O164=0,0,AD164*100/O164)</f>
        <v>0</v>
      </c>
      <c r="AF164" s="165">
        <v>0</v>
      </c>
      <c r="AG164" s="167">
        <f>IF(N164=0,0,AF164*100/N164)</f>
        <v>0</v>
      </c>
      <c r="AH164" s="165">
        <v>0</v>
      </c>
      <c r="AI164" s="167">
        <f>IF(O164=0,0,AH164*100/O164)</f>
        <v>0</v>
      </c>
      <c r="AJ164" s="165">
        <v>0</v>
      </c>
      <c r="AK164" s="167">
        <f>IF(P164=0,0,AJ164*100/P164)</f>
        <v>0</v>
      </c>
      <c r="AL164" s="165">
        <v>0</v>
      </c>
      <c r="AM164" s="134">
        <f t="shared" si="213"/>
        <v>0</v>
      </c>
      <c r="AN164" s="166">
        <v>0</v>
      </c>
      <c r="AO164" s="153">
        <v>0</v>
      </c>
      <c r="AP164" s="134">
        <f t="shared" si="214"/>
        <v>0</v>
      </c>
      <c r="AQ164" s="166">
        <v>0</v>
      </c>
      <c r="AR164" s="154">
        <v>0</v>
      </c>
      <c r="AS164" s="243">
        <f t="shared" si="215"/>
        <v>0</v>
      </c>
      <c r="AT164" s="165">
        <v>0</v>
      </c>
      <c r="AU164" s="292">
        <v>0</v>
      </c>
      <c r="AV164" s="101"/>
      <c r="AW164" s="180">
        <v>0</v>
      </c>
      <c r="AX164" s="180">
        <v>0</v>
      </c>
      <c r="AY164" s="167">
        <f t="shared" si="216"/>
        <v>0</v>
      </c>
      <c r="AZ164" s="101"/>
      <c r="BA164" s="103"/>
    </row>
    <row r="165" spans="1:53" s="102" customFormat="1" ht="51">
      <c r="A165" s="256"/>
      <c r="B165" s="256"/>
      <c r="C165" s="256"/>
      <c r="D165" s="256"/>
      <c r="E165" s="256"/>
      <c r="F165" s="145" t="s">
        <v>23</v>
      </c>
      <c r="G165" s="179">
        <v>0</v>
      </c>
      <c r="H165" s="179">
        <v>0</v>
      </c>
      <c r="I165" s="180">
        <v>0</v>
      </c>
      <c r="J165" s="180">
        <v>0</v>
      </c>
      <c r="K165" s="180">
        <v>0</v>
      </c>
      <c r="L165" s="165">
        <v>0</v>
      </c>
      <c r="M165" s="165">
        <v>0</v>
      </c>
      <c r="N165" s="165">
        <v>0</v>
      </c>
      <c r="O165" s="130">
        <f>N165</f>
        <v>0</v>
      </c>
      <c r="P165" s="165">
        <v>0</v>
      </c>
      <c r="Q165" s="165">
        <v>0</v>
      </c>
      <c r="R165" s="165">
        <v>0</v>
      </c>
      <c r="S165" s="166">
        <v>0</v>
      </c>
      <c r="T165" s="165">
        <v>0</v>
      </c>
      <c r="U165" s="167">
        <v>0</v>
      </c>
      <c r="V165" s="165">
        <v>0</v>
      </c>
      <c r="W165" s="167">
        <f>IF(H165=0,0,V165*100/H165)</f>
        <v>0</v>
      </c>
      <c r="X165" s="165">
        <v>0</v>
      </c>
      <c r="Y165" s="167">
        <f>IF(J165=0,0,X165*100/J165)</f>
        <v>0</v>
      </c>
      <c r="Z165" s="165">
        <v>0</v>
      </c>
      <c r="AA165" s="167">
        <f>IF(K165=0,0,Z165*100/K165)</f>
        <v>0</v>
      </c>
      <c r="AB165" s="165">
        <v>0</v>
      </c>
      <c r="AC165" s="167">
        <f>IF(L165=0,0,AB165*100/L165)</f>
        <v>0</v>
      </c>
      <c r="AD165" s="165"/>
      <c r="AE165" s="167">
        <f>IF(O165=0,0,AD165*100/O165)</f>
        <v>0</v>
      </c>
      <c r="AF165" s="165">
        <v>0</v>
      </c>
      <c r="AG165" s="167">
        <f>IF(N165=0,0,AF165*100/N165)</f>
        <v>0</v>
      </c>
      <c r="AH165" s="165">
        <v>0</v>
      </c>
      <c r="AI165" s="167">
        <f>IF(O165=0,0,AH165*100/O165)</f>
        <v>0</v>
      </c>
      <c r="AJ165" s="165">
        <v>0</v>
      </c>
      <c r="AK165" s="167">
        <f>IF(P165=0,0,AJ165*100/P165)</f>
        <v>0</v>
      </c>
      <c r="AL165" s="165">
        <v>0</v>
      </c>
      <c r="AM165" s="134">
        <f t="shared" si="213"/>
        <v>0</v>
      </c>
      <c r="AN165" s="166">
        <v>0</v>
      </c>
      <c r="AO165" s="153">
        <v>0</v>
      </c>
      <c r="AP165" s="134">
        <f t="shared" si="214"/>
        <v>0</v>
      </c>
      <c r="AQ165" s="166">
        <v>0</v>
      </c>
      <c r="AR165" s="154">
        <v>0</v>
      </c>
      <c r="AS165" s="243">
        <f t="shared" si="215"/>
        <v>0</v>
      </c>
      <c r="AT165" s="165">
        <v>0</v>
      </c>
      <c r="AU165" s="292">
        <v>0</v>
      </c>
      <c r="AV165" s="101"/>
      <c r="AW165" s="180">
        <v>0</v>
      </c>
      <c r="AX165" s="180">
        <v>0</v>
      </c>
      <c r="AY165" s="167">
        <f t="shared" si="216"/>
        <v>0</v>
      </c>
      <c r="AZ165" s="101"/>
      <c r="BA165" s="103"/>
    </row>
    <row r="166" spans="1:53" s="102" customFormat="1" ht="38.25">
      <c r="A166" s="256"/>
      <c r="B166" s="256"/>
      <c r="C166" s="256"/>
      <c r="D166" s="256"/>
      <c r="E166" s="256"/>
      <c r="F166" s="145" t="s">
        <v>44</v>
      </c>
      <c r="G166" s="179">
        <v>0</v>
      </c>
      <c r="H166" s="179">
        <v>0</v>
      </c>
      <c r="I166" s="180">
        <v>0</v>
      </c>
      <c r="J166" s="180">
        <v>0</v>
      </c>
      <c r="K166" s="180">
        <v>0</v>
      </c>
      <c r="L166" s="165">
        <v>0</v>
      </c>
      <c r="M166" s="165">
        <v>0</v>
      </c>
      <c r="N166" s="165">
        <v>0</v>
      </c>
      <c r="O166" s="130">
        <f>N166</f>
        <v>0</v>
      </c>
      <c r="P166" s="165">
        <v>0</v>
      </c>
      <c r="Q166" s="165">
        <v>0</v>
      </c>
      <c r="R166" s="165">
        <v>0</v>
      </c>
      <c r="S166" s="166"/>
      <c r="T166" s="165">
        <v>0</v>
      </c>
      <c r="U166" s="167">
        <v>0</v>
      </c>
      <c r="V166" s="165">
        <v>0</v>
      </c>
      <c r="W166" s="167">
        <f>IF(H166=0,0,V166*100/H166)</f>
        <v>0</v>
      </c>
      <c r="X166" s="165">
        <v>0</v>
      </c>
      <c r="Y166" s="167">
        <f>IF(J166=0,0,X166*100/J166)</f>
        <v>0</v>
      </c>
      <c r="Z166" s="165">
        <v>0</v>
      </c>
      <c r="AA166" s="167">
        <f>IF(K166=0,0,Z166*100/K166)</f>
        <v>0</v>
      </c>
      <c r="AB166" s="165">
        <v>0</v>
      </c>
      <c r="AC166" s="167">
        <f>IF(L166=0,0,AB166*100/L166)</f>
        <v>0</v>
      </c>
      <c r="AD166" s="165"/>
      <c r="AE166" s="167">
        <f>IF(O166=0,0,AD166*100/O166)</f>
        <v>0</v>
      </c>
      <c r="AF166" s="165">
        <v>0</v>
      </c>
      <c r="AG166" s="167">
        <f>IF(N166=0,0,AF166*100/N166)</f>
        <v>0</v>
      </c>
      <c r="AH166" s="165">
        <v>0</v>
      </c>
      <c r="AI166" s="167">
        <f>IF(O166=0,0,AH166*100/O166)</f>
        <v>0</v>
      </c>
      <c r="AJ166" s="165">
        <v>0</v>
      </c>
      <c r="AK166" s="167">
        <f>IF(P166=0,0,AJ166*100/P166)</f>
        <v>0</v>
      </c>
      <c r="AL166" s="165">
        <v>0</v>
      </c>
      <c r="AM166" s="134">
        <f t="shared" si="213"/>
        <v>0</v>
      </c>
      <c r="AN166" s="166">
        <v>0</v>
      </c>
      <c r="AO166" s="153">
        <v>0</v>
      </c>
      <c r="AP166" s="134">
        <f t="shared" si="214"/>
        <v>0</v>
      </c>
      <c r="AQ166" s="166"/>
      <c r="AR166" s="154">
        <v>0</v>
      </c>
      <c r="AS166" s="243">
        <f t="shared" si="215"/>
        <v>0</v>
      </c>
      <c r="AT166" s="165">
        <v>0</v>
      </c>
      <c r="AU166" s="292">
        <v>0</v>
      </c>
      <c r="AV166" s="101"/>
      <c r="AW166" s="130">
        <v>0</v>
      </c>
      <c r="AX166" s="130">
        <v>0</v>
      </c>
      <c r="AY166" s="167">
        <f t="shared" si="216"/>
        <v>0</v>
      </c>
      <c r="AZ166" s="101"/>
      <c r="BA166" s="103"/>
    </row>
    <row r="167" spans="1:53" s="102" customFormat="1" ht="409.5">
      <c r="A167" s="109" t="s">
        <v>4</v>
      </c>
      <c r="B167" s="109">
        <v>22</v>
      </c>
      <c r="C167" s="249" t="s">
        <v>58</v>
      </c>
      <c r="D167" s="109" t="s">
        <v>206</v>
      </c>
      <c r="E167" s="109" t="s">
        <v>14</v>
      </c>
      <c r="F167" s="128" t="s">
        <v>26</v>
      </c>
      <c r="G167" s="149">
        <f aca="true" t="shared" si="217" ref="G167:AJ167">SUM(G169:G173)</f>
        <v>2181632.2</v>
      </c>
      <c r="H167" s="149">
        <f t="shared" si="217"/>
        <v>2181632.2</v>
      </c>
      <c r="I167" s="149">
        <f t="shared" si="217"/>
        <v>3261314.4000000004</v>
      </c>
      <c r="J167" s="149">
        <f t="shared" si="217"/>
        <v>3492132.2</v>
      </c>
      <c r="K167" s="149">
        <f t="shared" si="217"/>
        <v>3492132.2</v>
      </c>
      <c r="L167" s="149">
        <f t="shared" si="217"/>
        <v>3492132.2</v>
      </c>
      <c r="M167" s="149">
        <f t="shared" si="217"/>
        <v>3492132.2</v>
      </c>
      <c r="N167" s="149">
        <f t="shared" si="217"/>
        <v>3492132.2</v>
      </c>
      <c r="O167" s="149">
        <f t="shared" si="217"/>
        <v>3492132.2</v>
      </c>
      <c r="P167" s="149">
        <f t="shared" si="217"/>
        <v>3492132.2</v>
      </c>
      <c r="Q167" s="149">
        <f t="shared" si="217"/>
        <v>3501639</v>
      </c>
      <c r="R167" s="149">
        <f t="shared" si="217"/>
        <v>3501639</v>
      </c>
      <c r="S167" s="152">
        <f t="shared" si="217"/>
        <v>3345239.1</v>
      </c>
      <c r="T167" s="149">
        <f t="shared" si="217"/>
        <v>43980.9</v>
      </c>
      <c r="U167" s="149">
        <f t="shared" si="217"/>
        <v>2.0364052543181046</v>
      </c>
      <c r="V167" s="149">
        <f t="shared" si="217"/>
        <v>167837.71261000002</v>
      </c>
      <c r="W167" s="149">
        <f t="shared" si="217"/>
        <v>7.771227961040725</v>
      </c>
      <c r="X167" s="149">
        <f t="shared" si="217"/>
        <v>270415</v>
      </c>
      <c r="Y167" s="149">
        <f t="shared" si="217"/>
        <v>12.520765305994882</v>
      </c>
      <c r="Z167" s="149">
        <f t="shared" si="217"/>
        <v>628909.6</v>
      </c>
      <c r="AA167" s="149">
        <f t="shared" si="217"/>
        <v>88.70122287218682</v>
      </c>
      <c r="AB167" s="149">
        <f t="shared" si="217"/>
        <v>717547.5</v>
      </c>
      <c r="AC167" s="149">
        <f t="shared" si="217"/>
        <v>92.80533818796532</v>
      </c>
      <c r="AD167" s="149">
        <f t="shared" si="217"/>
        <v>813995.3</v>
      </c>
      <c r="AE167" s="149">
        <f t="shared" si="217"/>
        <v>98.92942203008013</v>
      </c>
      <c r="AF167" s="149">
        <f t="shared" si="217"/>
        <v>975041.9</v>
      </c>
      <c r="AG167" s="149">
        <f t="shared" si="217"/>
        <v>107.11120088912563</v>
      </c>
      <c r="AH167" s="149">
        <f t="shared" si="217"/>
        <v>1093827.5</v>
      </c>
      <c r="AI167" s="149">
        <f t="shared" si="217"/>
        <v>112.61121612249576</v>
      </c>
      <c r="AJ167" s="149">
        <f t="shared" si="217"/>
        <v>1183436.9</v>
      </c>
      <c r="AK167" s="150">
        <f>IF(P167=0,0,AJ167*100/P167)</f>
        <v>33.888662634249634</v>
      </c>
      <c r="AL167" s="149">
        <f>SUM(AL169:AL173)</f>
        <v>1327299.0436000002</v>
      </c>
      <c r="AM167" s="150">
        <f t="shared" si="213"/>
        <v>37.905079409956315</v>
      </c>
      <c r="AN167" s="152">
        <f>SUM(AN169:AN173)</f>
        <v>1423984.3</v>
      </c>
      <c r="AO167" s="153">
        <f>AN167/I167*100</f>
        <v>43.66289554910743</v>
      </c>
      <c r="AP167" s="150">
        <f t="shared" si="214"/>
        <v>40.666222303327096</v>
      </c>
      <c r="AQ167" s="152">
        <f>SUM(AQ169:AQ173)</f>
        <v>2853536.5999999996</v>
      </c>
      <c r="AR167" s="154">
        <f>AQ167/I167*100</f>
        <v>87.49651980808717</v>
      </c>
      <c r="AS167" s="189">
        <f t="shared" si="215"/>
        <v>85.30142434362911</v>
      </c>
      <c r="AT167" s="190">
        <f>SUM(AT169:AT173)</f>
        <v>3153701.5</v>
      </c>
      <c r="AU167" s="129">
        <f>AT167*100/I167</f>
        <v>96.70032119565043</v>
      </c>
      <c r="AV167" s="213" t="s">
        <v>150</v>
      </c>
      <c r="AW167" s="191">
        <f>SUM(AW169:AW173)</f>
        <v>117799.1</v>
      </c>
      <c r="AX167" s="191">
        <f>SUM(AX169:AX173)</f>
        <v>93418.8</v>
      </c>
      <c r="AY167" s="134">
        <f t="shared" si="216"/>
        <v>79.30349213194327</v>
      </c>
      <c r="AZ167" s="204"/>
      <c r="BA167" s="103"/>
    </row>
    <row r="168" spans="1:53" s="102" customFormat="1" ht="25.5">
      <c r="A168" s="256"/>
      <c r="B168" s="256"/>
      <c r="C168" s="256"/>
      <c r="D168" s="256"/>
      <c r="E168" s="256"/>
      <c r="F168" s="136" t="s">
        <v>29</v>
      </c>
      <c r="G168" s="137"/>
      <c r="H168" s="137"/>
      <c r="I168" s="137"/>
      <c r="J168" s="137"/>
      <c r="K168" s="137"/>
      <c r="L168" s="137"/>
      <c r="M168" s="137"/>
      <c r="N168" s="137"/>
      <c r="O168" s="137"/>
      <c r="P168" s="137"/>
      <c r="Q168" s="137"/>
      <c r="R168" s="137"/>
      <c r="S168" s="139"/>
      <c r="T168" s="137"/>
      <c r="U168" s="137"/>
      <c r="V168" s="137"/>
      <c r="W168" s="137"/>
      <c r="X168" s="137"/>
      <c r="Y168" s="137"/>
      <c r="Z168" s="137"/>
      <c r="AA168" s="137"/>
      <c r="AB168" s="137"/>
      <c r="AC168" s="137"/>
      <c r="AD168" s="137"/>
      <c r="AE168" s="138"/>
      <c r="AF168" s="137"/>
      <c r="AG168" s="137"/>
      <c r="AH168" s="137"/>
      <c r="AI168" s="137"/>
      <c r="AJ168" s="137"/>
      <c r="AK168" s="137"/>
      <c r="AL168" s="137"/>
      <c r="AM168" s="137"/>
      <c r="AN168" s="139"/>
      <c r="AO168" s="138"/>
      <c r="AP168" s="137"/>
      <c r="AQ168" s="139"/>
      <c r="AR168" s="140"/>
      <c r="AS168" s="139"/>
      <c r="AT168" s="142"/>
      <c r="AU168" s="143"/>
      <c r="AV168" s="101"/>
      <c r="AW168" s="194"/>
      <c r="AX168" s="142"/>
      <c r="AY168" s="193"/>
      <c r="AZ168" s="101"/>
      <c r="BA168" s="103"/>
    </row>
    <row r="169" spans="1:53" s="102" customFormat="1" ht="38.25">
      <c r="A169" s="256"/>
      <c r="B169" s="256"/>
      <c r="C169" s="256"/>
      <c r="D169" s="256"/>
      <c r="E169" s="256"/>
      <c r="F169" s="144" t="s">
        <v>27</v>
      </c>
      <c r="G169" s="179">
        <v>0</v>
      </c>
      <c r="H169" s="179">
        <v>0</v>
      </c>
      <c r="I169" s="180">
        <v>0</v>
      </c>
      <c r="J169" s="180">
        <v>0</v>
      </c>
      <c r="K169" s="180">
        <v>0</v>
      </c>
      <c r="L169" s="180">
        <v>0</v>
      </c>
      <c r="M169" s="180">
        <v>0</v>
      </c>
      <c r="N169" s="180">
        <v>0</v>
      </c>
      <c r="O169" s="180">
        <f>N169</f>
        <v>0</v>
      </c>
      <c r="P169" s="197">
        <v>0</v>
      </c>
      <c r="Q169" s="197">
        <v>0</v>
      </c>
      <c r="R169" s="197">
        <v>0</v>
      </c>
      <c r="S169" s="198">
        <v>0</v>
      </c>
      <c r="T169" s="197">
        <v>0</v>
      </c>
      <c r="U169" s="167">
        <v>0</v>
      </c>
      <c r="V169" s="197">
        <v>0</v>
      </c>
      <c r="W169" s="167">
        <f>IF(H169=0,0,V169*100/H169)</f>
        <v>0</v>
      </c>
      <c r="X169" s="197">
        <v>0</v>
      </c>
      <c r="Y169" s="167">
        <f>IF(J169=0,0,X169*100/J169)</f>
        <v>0</v>
      </c>
      <c r="Z169" s="197">
        <v>0</v>
      </c>
      <c r="AA169" s="167">
        <f>IF(K169=0,0,Z169*100/K169)</f>
        <v>0</v>
      </c>
      <c r="AB169" s="197">
        <v>0</v>
      </c>
      <c r="AC169" s="167">
        <f>IF(L169=0,0,AB169*100/L169)</f>
        <v>0</v>
      </c>
      <c r="AD169" s="197">
        <v>0</v>
      </c>
      <c r="AE169" s="167">
        <f>IF(O169=0,0,AD169*100/O169)</f>
        <v>0</v>
      </c>
      <c r="AF169" s="197">
        <v>0</v>
      </c>
      <c r="AG169" s="167">
        <f>IF(N169=0,0,AF169*100/N169)</f>
        <v>0</v>
      </c>
      <c r="AH169" s="197">
        <v>0</v>
      </c>
      <c r="AI169" s="167">
        <f aca="true" t="shared" si="218" ref="AI169:AI174">IF(O169=0,0,AH169*100/O169)</f>
        <v>0</v>
      </c>
      <c r="AJ169" s="197">
        <v>0</v>
      </c>
      <c r="AK169" s="167">
        <f aca="true" t="shared" si="219" ref="AK169:AK174">IF(P169=0,0,AJ169*100/P169)</f>
        <v>0</v>
      </c>
      <c r="AL169" s="197">
        <v>0</v>
      </c>
      <c r="AM169" s="134">
        <f aca="true" t="shared" si="220" ref="AM169:AM174">IF(Q169=0,0,AL169*100/Q169)</f>
        <v>0</v>
      </c>
      <c r="AN169" s="198">
        <v>0</v>
      </c>
      <c r="AO169" s="150">
        <v>0</v>
      </c>
      <c r="AP169" s="134">
        <f aca="true" t="shared" si="221" ref="AP169:AP174">IF(R169=0,0,AN169*100/R169)</f>
        <v>0</v>
      </c>
      <c r="AQ169" s="198">
        <v>0</v>
      </c>
      <c r="AR169" s="189">
        <v>0</v>
      </c>
      <c r="AS169" s="243">
        <f aca="true" t="shared" si="222" ref="AS169:AS174">IF(S169=0,0,AQ169*100/S169)</f>
        <v>0</v>
      </c>
      <c r="AT169" s="197">
        <v>0</v>
      </c>
      <c r="AU169" s="292">
        <v>0</v>
      </c>
      <c r="AV169" s="101"/>
      <c r="AW169" s="180">
        <v>0</v>
      </c>
      <c r="AX169" s="180">
        <v>0</v>
      </c>
      <c r="AY169" s="167">
        <f aca="true" t="shared" si="223" ref="AY169:AY174">IF(AW169=0,0,AX169*100/AW169)</f>
        <v>0</v>
      </c>
      <c r="AZ169" s="101"/>
      <c r="BA169" s="103"/>
    </row>
    <row r="170" spans="1:53" s="102" customFormat="1" ht="51">
      <c r="A170" s="256"/>
      <c r="B170" s="256"/>
      <c r="C170" s="256"/>
      <c r="D170" s="256"/>
      <c r="E170" s="256"/>
      <c r="F170" s="145" t="s">
        <v>30</v>
      </c>
      <c r="G170" s="179">
        <v>2159732.2</v>
      </c>
      <c r="H170" s="179">
        <v>2159732.2</v>
      </c>
      <c r="I170" s="180">
        <v>1979387.8</v>
      </c>
      <c r="J170" s="180">
        <v>2159732.2</v>
      </c>
      <c r="K170" s="180">
        <v>2159732.2</v>
      </c>
      <c r="L170" s="180">
        <v>2159732.2</v>
      </c>
      <c r="M170" s="180">
        <v>2159732.2</v>
      </c>
      <c r="N170" s="180">
        <v>2159732.2</v>
      </c>
      <c r="O170" s="130">
        <f>N170</f>
        <v>2159732.2</v>
      </c>
      <c r="P170" s="130">
        <f>O170</f>
        <v>2159732.2</v>
      </c>
      <c r="Q170" s="130">
        <f>P170</f>
        <v>2159732.2</v>
      </c>
      <c r="R170" s="130">
        <f>Q170</f>
        <v>2159732.2</v>
      </c>
      <c r="S170" s="224">
        <f>R170</f>
        <v>2159732.2</v>
      </c>
      <c r="T170" s="165">
        <v>43980.9</v>
      </c>
      <c r="U170" s="167">
        <f>SUM(T170/G170*100)</f>
        <v>2.0364052543181046</v>
      </c>
      <c r="V170" s="238">
        <v>167837.71261000002</v>
      </c>
      <c r="W170" s="167">
        <f>IF(H170=0,0,V170*100/H170)</f>
        <v>7.771227961040725</v>
      </c>
      <c r="X170" s="165">
        <v>270415</v>
      </c>
      <c r="Y170" s="167">
        <f>IF(J170=0,0,X170*100/J170)</f>
        <v>12.520765305994882</v>
      </c>
      <c r="Z170" s="165">
        <v>615727.6</v>
      </c>
      <c r="AA170" s="167">
        <f>IF(K170=0,0,Z170*100/K170)</f>
        <v>28.50944205026901</v>
      </c>
      <c r="AB170" s="165">
        <v>704365.5</v>
      </c>
      <c r="AC170" s="167">
        <f>IF(L170=0,0,AB170*100/L170)</f>
        <v>32.61355736604751</v>
      </c>
      <c r="AD170" s="165">
        <v>800446.4</v>
      </c>
      <c r="AE170" s="167">
        <f>IF(O170=0,0,AD170*100/O170)</f>
        <v>37.06229874240889</v>
      </c>
      <c r="AF170" s="165">
        <v>961332.6</v>
      </c>
      <c r="AG170" s="167">
        <f>IF(N170=0,0,AF170*100/N170)</f>
        <v>44.511657510130185</v>
      </c>
      <c r="AH170" s="165">
        <v>1080118.2</v>
      </c>
      <c r="AI170" s="167">
        <f t="shared" si="218"/>
        <v>50.01167274350033</v>
      </c>
      <c r="AJ170" s="165">
        <v>1168204.4</v>
      </c>
      <c r="AK170" s="167">
        <f t="shared" si="219"/>
        <v>54.09024322552582</v>
      </c>
      <c r="AL170" s="165">
        <v>1310439.8</v>
      </c>
      <c r="AM170" s="134">
        <f t="shared" si="220"/>
        <v>60.67603196359252</v>
      </c>
      <c r="AN170" s="166">
        <v>1407075</v>
      </c>
      <c r="AO170" s="150">
        <f>AN170/I170*100</f>
        <v>71.08637327157416</v>
      </c>
      <c r="AP170" s="134">
        <f t="shared" si="221"/>
        <v>65.15043855900282</v>
      </c>
      <c r="AQ170" s="166">
        <v>1783864.7</v>
      </c>
      <c r="AR170" s="189">
        <f>AQ170/I170*100</f>
        <v>90.12204177473458</v>
      </c>
      <c r="AS170" s="243">
        <f t="shared" si="222"/>
        <v>82.59656914871204</v>
      </c>
      <c r="AT170" s="165">
        <v>1879289.6</v>
      </c>
      <c r="AU170" s="129">
        <f>AT170*100/I170</f>
        <v>94.94297176126881</v>
      </c>
      <c r="AV170" s="101"/>
      <c r="AW170" s="130">
        <v>117754</v>
      </c>
      <c r="AX170" s="130">
        <v>93368.7</v>
      </c>
      <c r="AY170" s="167">
        <f t="shared" si="223"/>
        <v>79.29131919085552</v>
      </c>
      <c r="AZ170" s="101"/>
      <c r="BA170" s="103"/>
    </row>
    <row r="171" spans="1:53" s="102" customFormat="1" ht="63.75">
      <c r="A171" s="256"/>
      <c r="B171" s="256"/>
      <c r="C171" s="256"/>
      <c r="D171" s="256"/>
      <c r="E171" s="256"/>
      <c r="F171" s="145" t="s">
        <v>37</v>
      </c>
      <c r="G171" s="179">
        <v>21900</v>
      </c>
      <c r="H171" s="179">
        <v>21900</v>
      </c>
      <c r="I171" s="180">
        <v>21900</v>
      </c>
      <c r="J171" s="180">
        <v>21900</v>
      </c>
      <c r="K171" s="180">
        <v>21900</v>
      </c>
      <c r="L171" s="180">
        <v>21900</v>
      </c>
      <c r="M171" s="180">
        <v>21900</v>
      </c>
      <c r="N171" s="180">
        <v>21900</v>
      </c>
      <c r="O171" s="130">
        <f>N171</f>
        <v>21900</v>
      </c>
      <c r="P171" s="130">
        <f>O171</f>
        <v>21900</v>
      </c>
      <c r="Q171" s="165">
        <v>21900</v>
      </c>
      <c r="R171" s="165">
        <v>21900</v>
      </c>
      <c r="S171" s="166">
        <v>21900</v>
      </c>
      <c r="T171" s="165">
        <v>0</v>
      </c>
      <c r="U171" s="167">
        <f>SUM(T171/G171*100)</f>
        <v>0</v>
      </c>
      <c r="V171" s="165">
        <v>0</v>
      </c>
      <c r="W171" s="167">
        <f>IF(H171=0,0,V171*100/H171)</f>
        <v>0</v>
      </c>
      <c r="X171" s="165">
        <v>0</v>
      </c>
      <c r="Y171" s="167">
        <f>IF(J171=0,0,X171*100/J171)</f>
        <v>0</v>
      </c>
      <c r="Z171" s="165">
        <v>13182</v>
      </c>
      <c r="AA171" s="167">
        <f>IF(K171=0,0,Z171*100/K171)</f>
        <v>60.19178082191781</v>
      </c>
      <c r="AB171" s="165">
        <v>13182</v>
      </c>
      <c r="AC171" s="167">
        <f>IF(L171=0,0,AB171*100/L171)</f>
        <v>60.19178082191781</v>
      </c>
      <c r="AD171" s="165">
        <v>13548.9</v>
      </c>
      <c r="AE171" s="167">
        <f>IF(O171=0,0,AD171*100/O171)</f>
        <v>61.867123287671234</v>
      </c>
      <c r="AF171" s="165">
        <v>13709.3</v>
      </c>
      <c r="AG171" s="167">
        <f>IF(N171=0,0,AF171*100/N171)</f>
        <v>62.599543378995435</v>
      </c>
      <c r="AH171" s="165">
        <f>13548.9+160.4</f>
        <v>13709.3</v>
      </c>
      <c r="AI171" s="167">
        <f t="shared" si="218"/>
        <v>62.599543378995435</v>
      </c>
      <c r="AJ171" s="165">
        <v>15232.5</v>
      </c>
      <c r="AK171" s="167">
        <f t="shared" si="219"/>
        <v>69.55479452054794</v>
      </c>
      <c r="AL171" s="165">
        <v>15532.643600000001</v>
      </c>
      <c r="AM171" s="134">
        <f t="shared" si="220"/>
        <v>70.92531324200914</v>
      </c>
      <c r="AN171" s="166">
        <v>15582.7</v>
      </c>
      <c r="AO171" s="150">
        <f>AN171/I171*100</f>
        <v>71.1538812785388</v>
      </c>
      <c r="AP171" s="134">
        <f t="shared" si="221"/>
        <v>71.15388127853882</v>
      </c>
      <c r="AQ171" s="166">
        <v>15582.7</v>
      </c>
      <c r="AR171" s="189">
        <f>AQ171/I171*100</f>
        <v>71.1538812785388</v>
      </c>
      <c r="AS171" s="243">
        <f t="shared" si="222"/>
        <v>71.15388127853882</v>
      </c>
      <c r="AT171" s="165">
        <v>15651.8</v>
      </c>
      <c r="AU171" s="129">
        <f>AT171*100/I171</f>
        <v>71.46940639269407</v>
      </c>
      <c r="AV171" s="101"/>
      <c r="AW171" s="130">
        <v>45.1</v>
      </c>
      <c r="AX171" s="130">
        <v>50.1</v>
      </c>
      <c r="AY171" s="167">
        <f t="shared" si="223"/>
        <v>111.08647450110864</v>
      </c>
      <c r="AZ171" s="101"/>
      <c r="BA171" s="103"/>
    </row>
    <row r="172" spans="1:53" s="102" customFormat="1" ht="51">
      <c r="A172" s="256"/>
      <c r="B172" s="256"/>
      <c r="C172" s="256"/>
      <c r="D172" s="256"/>
      <c r="E172" s="256"/>
      <c r="F172" s="145" t="s">
        <v>23</v>
      </c>
      <c r="G172" s="179">
        <v>0</v>
      </c>
      <c r="H172" s="179">
        <v>0</v>
      </c>
      <c r="I172" s="180">
        <v>1260026.6</v>
      </c>
      <c r="J172" s="180">
        <v>1310500</v>
      </c>
      <c r="K172" s="180">
        <v>1310500</v>
      </c>
      <c r="L172" s="180">
        <v>1310500</v>
      </c>
      <c r="M172" s="180">
        <v>1310500</v>
      </c>
      <c r="N172" s="180">
        <v>1310500</v>
      </c>
      <c r="O172" s="130">
        <f>N172</f>
        <v>1310500</v>
      </c>
      <c r="P172" s="130">
        <f>O172</f>
        <v>1310500</v>
      </c>
      <c r="Q172" s="130">
        <v>1320006.8</v>
      </c>
      <c r="R172" s="130">
        <f>Q172</f>
        <v>1320006.8</v>
      </c>
      <c r="S172" s="224">
        <v>1163606.9</v>
      </c>
      <c r="T172" s="130">
        <v>0</v>
      </c>
      <c r="U172" s="130">
        <f>T172</f>
        <v>0</v>
      </c>
      <c r="V172" s="130">
        <f>U172</f>
        <v>0</v>
      </c>
      <c r="W172" s="130">
        <f>V172</f>
        <v>0</v>
      </c>
      <c r="X172" s="130">
        <v>0</v>
      </c>
      <c r="Y172" s="130">
        <f>X172</f>
        <v>0</v>
      </c>
      <c r="Z172" s="130">
        <v>0</v>
      </c>
      <c r="AA172" s="130">
        <f>Z172</f>
        <v>0</v>
      </c>
      <c r="AB172" s="130">
        <v>0</v>
      </c>
      <c r="AC172" s="130">
        <f>AB172</f>
        <v>0</v>
      </c>
      <c r="AD172" s="130">
        <v>0</v>
      </c>
      <c r="AE172" s="130">
        <f>AD172</f>
        <v>0</v>
      </c>
      <c r="AF172" s="130">
        <v>0</v>
      </c>
      <c r="AG172" s="130">
        <f>AF172</f>
        <v>0</v>
      </c>
      <c r="AH172" s="165">
        <v>0</v>
      </c>
      <c r="AI172" s="167">
        <f t="shared" si="218"/>
        <v>0</v>
      </c>
      <c r="AJ172" s="165">
        <v>0</v>
      </c>
      <c r="AK172" s="167">
        <f t="shared" si="219"/>
        <v>0</v>
      </c>
      <c r="AL172" s="165">
        <v>1326.6</v>
      </c>
      <c r="AM172" s="134">
        <f t="shared" si="220"/>
        <v>0.10049948227539433</v>
      </c>
      <c r="AN172" s="166">
        <v>1326.6</v>
      </c>
      <c r="AO172" s="150">
        <f>AN172/I172*100</f>
        <v>0.10528349163422422</v>
      </c>
      <c r="AP172" s="134">
        <f t="shared" si="221"/>
        <v>0.10049948227539433</v>
      </c>
      <c r="AQ172" s="166">
        <v>1054089.2</v>
      </c>
      <c r="AR172" s="189">
        <f>AQ172/I172*100</f>
        <v>83.65610694250421</v>
      </c>
      <c r="AS172" s="243">
        <f t="shared" si="222"/>
        <v>90.58808434360436</v>
      </c>
      <c r="AT172" s="165">
        <v>1258760.1</v>
      </c>
      <c r="AU172" s="129">
        <f>AT172*100/I172</f>
        <v>99.8994862489411</v>
      </c>
      <c r="AV172" s="101"/>
      <c r="AW172" s="130">
        <v>0</v>
      </c>
      <c r="AX172" s="130">
        <v>0</v>
      </c>
      <c r="AY172" s="167">
        <f t="shared" si="223"/>
        <v>0</v>
      </c>
      <c r="AZ172" s="101"/>
      <c r="BA172" s="103"/>
    </row>
    <row r="173" spans="1:53" s="102" customFormat="1" ht="38.25">
      <c r="A173" s="256"/>
      <c r="B173" s="256"/>
      <c r="C173" s="256"/>
      <c r="D173" s="256"/>
      <c r="E173" s="256"/>
      <c r="F173" s="145" t="s">
        <v>44</v>
      </c>
      <c r="G173" s="179">
        <v>0</v>
      </c>
      <c r="H173" s="179">
        <v>0</v>
      </c>
      <c r="I173" s="180">
        <v>0</v>
      </c>
      <c r="J173" s="180">
        <v>0</v>
      </c>
      <c r="K173" s="180">
        <v>0</v>
      </c>
      <c r="L173" s="180">
        <v>0</v>
      </c>
      <c r="M173" s="180">
        <v>0</v>
      </c>
      <c r="N173" s="180">
        <v>0</v>
      </c>
      <c r="O173" s="130">
        <f>N173</f>
        <v>0</v>
      </c>
      <c r="P173" s="130">
        <f>O173</f>
        <v>0</v>
      </c>
      <c r="Q173" s="165">
        <v>0</v>
      </c>
      <c r="R173" s="165">
        <v>0</v>
      </c>
      <c r="S173" s="166">
        <v>0</v>
      </c>
      <c r="T173" s="165">
        <v>0</v>
      </c>
      <c r="U173" s="167">
        <v>0</v>
      </c>
      <c r="V173" s="165">
        <v>0</v>
      </c>
      <c r="W173" s="167">
        <f>IF(H173=0,0,V173*100/H173)</f>
        <v>0</v>
      </c>
      <c r="X173" s="165">
        <v>0</v>
      </c>
      <c r="Y173" s="167">
        <f>IF(J173=0,0,X173*100/J173)</f>
        <v>0</v>
      </c>
      <c r="Z173" s="165">
        <v>0</v>
      </c>
      <c r="AA173" s="167">
        <f>IF(K173=0,0,Z173*100/K173)</f>
        <v>0</v>
      </c>
      <c r="AB173" s="165">
        <v>0</v>
      </c>
      <c r="AC173" s="167">
        <f>IF(L173=0,0,AB173*100/L173)</f>
        <v>0</v>
      </c>
      <c r="AD173" s="165">
        <v>0</v>
      </c>
      <c r="AE173" s="167">
        <f>IF(O173=0,0,AD173*100/O173)</f>
        <v>0</v>
      </c>
      <c r="AF173" s="165">
        <v>0</v>
      </c>
      <c r="AG173" s="167">
        <f>IF(N173=0,0,AF173*100/N173)</f>
        <v>0</v>
      </c>
      <c r="AH173" s="165">
        <v>0</v>
      </c>
      <c r="AI173" s="167">
        <f t="shared" si="218"/>
        <v>0</v>
      </c>
      <c r="AJ173" s="165">
        <v>0</v>
      </c>
      <c r="AK173" s="167">
        <f t="shared" si="219"/>
        <v>0</v>
      </c>
      <c r="AL173" s="165">
        <v>0</v>
      </c>
      <c r="AM173" s="134">
        <f t="shared" si="220"/>
        <v>0</v>
      </c>
      <c r="AN173" s="166">
        <v>0</v>
      </c>
      <c r="AO173" s="150">
        <v>0</v>
      </c>
      <c r="AP173" s="134">
        <f t="shared" si="221"/>
        <v>0</v>
      </c>
      <c r="AQ173" s="166">
        <v>0</v>
      </c>
      <c r="AR173" s="189">
        <v>0</v>
      </c>
      <c r="AS173" s="243">
        <f t="shared" si="222"/>
        <v>0</v>
      </c>
      <c r="AT173" s="165">
        <v>0</v>
      </c>
      <c r="AU173" s="292">
        <v>0</v>
      </c>
      <c r="AV173" s="101"/>
      <c r="AW173" s="130">
        <v>0</v>
      </c>
      <c r="AX173" s="130">
        <v>0</v>
      </c>
      <c r="AY173" s="167">
        <f t="shared" si="223"/>
        <v>0</v>
      </c>
      <c r="AZ173" s="101"/>
      <c r="BA173" s="103"/>
    </row>
    <row r="174" spans="1:53" s="102" customFormat="1" ht="409.5">
      <c r="A174" s="124" t="s">
        <v>92</v>
      </c>
      <c r="B174" s="250">
        <v>23</v>
      </c>
      <c r="C174" s="178" t="s">
        <v>73</v>
      </c>
      <c r="D174" s="124" t="s">
        <v>178</v>
      </c>
      <c r="E174" s="124" t="s">
        <v>134</v>
      </c>
      <c r="F174" s="128" t="s">
        <v>26</v>
      </c>
      <c r="G174" s="149">
        <f aca="true" t="shared" si="224" ref="G174:T174">SUM(G176:G180)</f>
        <v>38188.4</v>
      </c>
      <c r="H174" s="149">
        <f t="shared" si="224"/>
        <v>38188.4</v>
      </c>
      <c r="I174" s="149">
        <f t="shared" si="224"/>
        <v>40671.1</v>
      </c>
      <c r="J174" s="149">
        <f t="shared" si="224"/>
        <v>38188.4</v>
      </c>
      <c r="K174" s="149">
        <f t="shared" si="224"/>
        <v>43644</v>
      </c>
      <c r="L174" s="149">
        <f t="shared" si="224"/>
        <v>43644</v>
      </c>
      <c r="M174" s="149">
        <f t="shared" si="224"/>
        <v>43644</v>
      </c>
      <c r="N174" s="149">
        <f t="shared" si="224"/>
        <v>43644</v>
      </c>
      <c r="O174" s="149">
        <f t="shared" si="224"/>
        <v>43644</v>
      </c>
      <c r="P174" s="149">
        <f t="shared" si="224"/>
        <v>43644</v>
      </c>
      <c r="Q174" s="149">
        <f t="shared" si="224"/>
        <v>43644</v>
      </c>
      <c r="R174" s="149">
        <f t="shared" si="224"/>
        <v>43644</v>
      </c>
      <c r="S174" s="152">
        <f t="shared" si="224"/>
        <v>43644</v>
      </c>
      <c r="T174" s="149">
        <f t="shared" si="224"/>
        <v>0</v>
      </c>
      <c r="U174" s="150">
        <f>SUM(T174/G174*100)</f>
        <v>0</v>
      </c>
      <c r="V174" s="149">
        <f>SUM(V176:V180)</f>
        <v>239.8</v>
      </c>
      <c r="W174" s="150">
        <f>IF(H174=0,0,V174*100/H174)</f>
        <v>0.6279393742602466</v>
      </c>
      <c r="X174" s="149">
        <f>SUM(X176:X180)</f>
        <v>11362.1</v>
      </c>
      <c r="Y174" s="150">
        <f>IF(J174=0,0,X174*100/J174)</f>
        <v>29.752752144630307</v>
      </c>
      <c r="Z174" s="149">
        <f>SUM(Z176:Z180)</f>
        <v>12703.2</v>
      </c>
      <c r="AA174" s="150">
        <f>IF(K174=0,0,Z174*100/K174)</f>
        <v>29.106406378883694</v>
      </c>
      <c r="AB174" s="149">
        <f>SUM(AB176:AB180)</f>
        <v>14675.1</v>
      </c>
      <c r="AC174" s="150">
        <f>IF(L174=0,0,AB174*100/L174)</f>
        <v>33.62455320318944</v>
      </c>
      <c r="AD174" s="149">
        <f>SUM(AD176:AD180)</f>
        <v>17634.1</v>
      </c>
      <c r="AE174" s="151">
        <f>IF(O174=0,0,AD174*100/O174)</f>
        <v>40.4044083951975</v>
      </c>
      <c r="AF174" s="149">
        <f>SUM(AF176:AF180)</f>
        <v>24211.2</v>
      </c>
      <c r="AG174" s="150">
        <f>IF(N174=0,0,AF174*100/N174)</f>
        <v>55.47429199890019</v>
      </c>
      <c r="AH174" s="149">
        <f>SUM(AH176:AH180)</f>
        <v>26859.3</v>
      </c>
      <c r="AI174" s="150">
        <f t="shared" si="218"/>
        <v>61.5417926862799</v>
      </c>
      <c r="AJ174" s="149">
        <f>SUM(AJ176:AJ180)</f>
        <v>28647.2</v>
      </c>
      <c r="AK174" s="150">
        <f t="shared" si="219"/>
        <v>65.63834662267436</v>
      </c>
      <c r="AL174" s="149">
        <f>SUM(AL176:AL180)</f>
        <v>32174.5</v>
      </c>
      <c r="AM174" s="150">
        <f t="shared" si="220"/>
        <v>73.72032810924755</v>
      </c>
      <c r="AN174" s="152">
        <f>SUM(AN176:AN180)</f>
        <v>36649.9</v>
      </c>
      <c r="AO174" s="153">
        <f>AN174/I174*100</f>
        <v>90.11288113672855</v>
      </c>
      <c r="AP174" s="150">
        <f t="shared" si="221"/>
        <v>83.97465860141142</v>
      </c>
      <c r="AQ174" s="152">
        <f>SUM(AQ176:AQ180)</f>
        <v>42798.1</v>
      </c>
      <c r="AR174" s="154">
        <f>AQ174/I174*100</f>
        <v>105.22975773952513</v>
      </c>
      <c r="AS174" s="189">
        <f t="shared" si="222"/>
        <v>98.06181834845569</v>
      </c>
      <c r="AT174" s="190">
        <f>SUM(AT176:AT180)</f>
        <v>40671.1</v>
      </c>
      <c r="AU174" s="129">
        <f>AT174*100/I174</f>
        <v>100</v>
      </c>
      <c r="AV174" s="213" t="s">
        <v>151</v>
      </c>
      <c r="AW174" s="191">
        <f>SUM(AW176:AW180)</f>
        <v>8443.2</v>
      </c>
      <c r="AX174" s="191">
        <f>SUM(AX176:AX180)</f>
        <v>6148.199999999993</v>
      </c>
      <c r="AY174" s="134">
        <f t="shared" si="223"/>
        <v>72.81836270608291</v>
      </c>
      <c r="AZ174" s="204" t="s">
        <v>218</v>
      </c>
      <c r="BA174" s="103"/>
    </row>
    <row r="175" spans="1:53" s="102" customFormat="1" ht="25.5">
      <c r="A175" s="256"/>
      <c r="B175" s="256"/>
      <c r="C175" s="256"/>
      <c r="D175" s="256"/>
      <c r="E175" s="256"/>
      <c r="F175" s="136" t="s">
        <v>29</v>
      </c>
      <c r="G175" s="137"/>
      <c r="H175" s="137"/>
      <c r="I175" s="137"/>
      <c r="J175" s="137"/>
      <c r="K175" s="137"/>
      <c r="L175" s="137"/>
      <c r="M175" s="137"/>
      <c r="N175" s="137"/>
      <c r="O175" s="137"/>
      <c r="P175" s="137"/>
      <c r="Q175" s="137"/>
      <c r="R175" s="137"/>
      <c r="S175" s="139"/>
      <c r="T175" s="137"/>
      <c r="U175" s="137"/>
      <c r="V175" s="137"/>
      <c r="W175" s="137"/>
      <c r="X175" s="137"/>
      <c r="Y175" s="137"/>
      <c r="Z175" s="137"/>
      <c r="AA175" s="137"/>
      <c r="AB175" s="137"/>
      <c r="AC175" s="137"/>
      <c r="AD175" s="137"/>
      <c r="AE175" s="138"/>
      <c r="AF175" s="137"/>
      <c r="AG175" s="137"/>
      <c r="AH175" s="137"/>
      <c r="AI175" s="137"/>
      <c r="AJ175" s="137"/>
      <c r="AK175" s="137"/>
      <c r="AL175" s="137"/>
      <c r="AM175" s="137"/>
      <c r="AN175" s="139"/>
      <c r="AO175" s="138"/>
      <c r="AP175" s="137"/>
      <c r="AQ175" s="139"/>
      <c r="AR175" s="140"/>
      <c r="AS175" s="139"/>
      <c r="AT175" s="142"/>
      <c r="AU175" s="143"/>
      <c r="AV175" s="101"/>
      <c r="AW175" s="194"/>
      <c r="AX175" s="251"/>
      <c r="AY175" s="193"/>
      <c r="AZ175" s="101"/>
      <c r="BA175" s="103"/>
    </row>
    <row r="176" spans="1:53" s="102" customFormat="1" ht="38.25">
      <c r="A176" s="256"/>
      <c r="B176" s="256"/>
      <c r="C176" s="256"/>
      <c r="D176" s="256"/>
      <c r="E176" s="256"/>
      <c r="F176" s="144" t="s">
        <v>27</v>
      </c>
      <c r="G176" s="179">
        <v>0</v>
      </c>
      <c r="H176" s="179">
        <v>0</v>
      </c>
      <c r="I176" s="180">
        <v>2785.6</v>
      </c>
      <c r="J176" s="180">
        <v>0</v>
      </c>
      <c r="K176" s="180">
        <v>5455.6</v>
      </c>
      <c r="L176" s="180">
        <v>5455.6</v>
      </c>
      <c r="M176" s="180">
        <v>5455.6</v>
      </c>
      <c r="N176" s="180">
        <v>5455.6</v>
      </c>
      <c r="O176" s="180">
        <v>5455.6</v>
      </c>
      <c r="P176" s="180">
        <v>5455.6</v>
      </c>
      <c r="Q176" s="180">
        <v>5455.6</v>
      </c>
      <c r="R176" s="180">
        <v>5455.6</v>
      </c>
      <c r="S176" s="200">
        <v>5455.6</v>
      </c>
      <c r="T176" s="197">
        <v>0</v>
      </c>
      <c r="U176" s="167">
        <v>0</v>
      </c>
      <c r="V176" s="197">
        <v>0</v>
      </c>
      <c r="W176" s="167">
        <f aca="true" t="shared" si="225" ref="W176:W181">IF(H176=0,0,V176*100/H176)</f>
        <v>0</v>
      </c>
      <c r="X176" s="197">
        <v>0</v>
      </c>
      <c r="Y176" s="167">
        <f aca="true" t="shared" si="226" ref="Y176:Y181">IF(J176=0,0,X176*100/J176)</f>
        <v>0</v>
      </c>
      <c r="Z176" s="197">
        <v>0</v>
      </c>
      <c r="AA176" s="167">
        <f aca="true" t="shared" si="227" ref="AA176:AA181">IF(K176=0,0,Z176*100/K176)</f>
        <v>0</v>
      </c>
      <c r="AB176" s="197">
        <v>0</v>
      </c>
      <c r="AC176" s="167">
        <f aca="true" t="shared" si="228" ref="AC176:AC181">IF(L176=0,0,AB176*100/L176)</f>
        <v>0</v>
      </c>
      <c r="AD176" s="197">
        <v>0</v>
      </c>
      <c r="AE176" s="167">
        <f aca="true" t="shared" si="229" ref="AE176:AE181">IF(O176=0,0,AD176*100/O176)</f>
        <v>0</v>
      </c>
      <c r="AF176" s="197">
        <v>542.5</v>
      </c>
      <c r="AG176" s="167">
        <f aca="true" t="shared" si="230" ref="AG176:AG181">IF(N176=0,0,AF176*100/N176)</f>
        <v>9.943910843903511</v>
      </c>
      <c r="AH176" s="197">
        <v>1330.7</v>
      </c>
      <c r="AI176" s="167">
        <f aca="true" t="shared" si="231" ref="AI176:AI181">IF(O176=0,0,AH176*100/O176)</f>
        <v>24.391450986142676</v>
      </c>
      <c r="AJ176" s="197">
        <v>1547.8</v>
      </c>
      <c r="AK176" s="167">
        <f aca="true" t="shared" si="232" ref="AK176:AK181">IF(P176=0,0,AJ176*100/P176)</f>
        <v>28.370848302661482</v>
      </c>
      <c r="AL176" s="197">
        <v>2115.6</v>
      </c>
      <c r="AM176" s="134">
        <f aca="true" t="shared" si="233" ref="AM176:AM181">IF(Q176=0,0,AL176*100/Q176)</f>
        <v>38.778502822787594</v>
      </c>
      <c r="AN176" s="198">
        <v>2315.6</v>
      </c>
      <c r="AO176" s="153">
        <f>AN176/I176*100</f>
        <v>83.12751292360711</v>
      </c>
      <c r="AP176" s="134">
        <f aca="true" t="shared" si="234" ref="AP176:AP181">IF(R176=0,0,AN176*100/R176)</f>
        <v>42.44446073759073</v>
      </c>
      <c r="AQ176" s="198">
        <f>S176-450-12.8</f>
        <v>4992.8</v>
      </c>
      <c r="AR176" s="154">
        <f>AQ176/I176*100</f>
        <v>179.2360712234348</v>
      </c>
      <c r="AS176" s="243">
        <f aca="true" t="shared" si="235" ref="AS176:AS181">IF(S176=0,0,AQ176*100/S176)</f>
        <v>91.51697338514553</v>
      </c>
      <c r="AT176" s="180">
        <v>2785.6</v>
      </c>
      <c r="AU176" s="223">
        <v>100</v>
      </c>
      <c r="AV176" s="101"/>
      <c r="AW176" s="97">
        <v>3340</v>
      </c>
      <c r="AX176" s="97">
        <f>AQ176-AN176</f>
        <v>2677.2000000000003</v>
      </c>
      <c r="AY176" s="167">
        <f>IF(AW176=0,0,AX176*100/AW176)</f>
        <v>80.1556886227545</v>
      </c>
      <c r="AZ176" s="101"/>
      <c r="BA176" s="103"/>
    </row>
    <row r="177" spans="1:53" s="102" customFormat="1" ht="51">
      <c r="A177" s="256"/>
      <c r="B177" s="256"/>
      <c r="C177" s="256"/>
      <c r="D177" s="256"/>
      <c r="E177" s="256"/>
      <c r="F177" s="145" t="s">
        <v>30</v>
      </c>
      <c r="G177" s="179">
        <v>38188.4</v>
      </c>
      <c r="H177" s="179">
        <v>38188.4</v>
      </c>
      <c r="I177" s="180">
        <v>37885.5</v>
      </c>
      <c r="J177" s="180">
        <v>38188.4</v>
      </c>
      <c r="K177" s="180">
        <v>38188.4</v>
      </c>
      <c r="L177" s="180">
        <v>38188.4</v>
      </c>
      <c r="M177" s="180">
        <v>38188.4</v>
      </c>
      <c r="N177" s="180">
        <v>38188.4</v>
      </c>
      <c r="O177" s="130">
        <f>N177</f>
        <v>38188.4</v>
      </c>
      <c r="P177" s="130">
        <f>O177</f>
        <v>38188.4</v>
      </c>
      <c r="Q177" s="130">
        <f>P177</f>
        <v>38188.4</v>
      </c>
      <c r="R177" s="130">
        <f>Q177</f>
        <v>38188.4</v>
      </c>
      <c r="S177" s="224">
        <f>R177</f>
        <v>38188.4</v>
      </c>
      <c r="T177" s="165">
        <v>0</v>
      </c>
      <c r="U177" s="167">
        <f>SUM(T177/G177*100)</f>
        <v>0</v>
      </c>
      <c r="V177" s="165">
        <v>239.8</v>
      </c>
      <c r="W177" s="167">
        <f t="shared" si="225"/>
        <v>0.6279393742602466</v>
      </c>
      <c r="X177" s="165">
        <v>11362.1</v>
      </c>
      <c r="Y177" s="167">
        <f t="shared" si="226"/>
        <v>29.752752144630307</v>
      </c>
      <c r="Z177" s="165">
        <v>12703.2</v>
      </c>
      <c r="AA177" s="167">
        <f t="shared" si="227"/>
        <v>33.264551539210856</v>
      </c>
      <c r="AB177" s="165">
        <v>14675.1</v>
      </c>
      <c r="AC177" s="167">
        <f t="shared" si="228"/>
        <v>38.42816143121995</v>
      </c>
      <c r="AD177" s="165">
        <v>17634.1</v>
      </c>
      <c r="AE177" s="167">
        <f t="shared" si="229"/>
        <v>46.17658765488996</v>
      </c>
      <c r="AF177" s="165">
        <v>23668.7</v>
      </c>
      <c r="AG177" s="167">
        <f t="shared" si="230"/>
        <v>61.97876842182443</v>
      </c>
      <c r="AH177" s="165">
        <v>25528.6</v>
      </c>
      <c r="AI177" s="167">
        <f t="shared" si="231"/>
        <v>66.8490955368646</v>
      </c>
      <c r="AJ177" s="165">
        <v>27099.4</v>
      </c>
      <c r="AK177" s="167">
        <f t="shared" si="232"/>
        <v>70.96238648385373</v>
      </c>
      <c r="AL177" s="165">
        <v>30058.9</v>
      </c>
      <c r="AM177" s="134">
        <f t="shared" si="233"/>
        <v>78.71212200563522</v>
      </c>
      <c r="AN177" s="166">
        <v>34334.3</v>
      </c>
      <c r="AO177" s="153">
        <f>AN177/I177*100</f>
        <v>90.62649298544298</v>
      </c>
      <c r="AP177" s="134">
        <f t="shared" si="234"/>
        <v>89.90766829717926</v>
      </c>
      <c r="AQ177" s="166">
        <f>S177-302.9-23.3-56.9</f>
        <v>37805.299999999996</v>
      </c>
      <c r="AR177" s="154">
        <f>AQ177/I177*100</f>
        <v>99.78830951155454</v>
      </c>
      <c r="AS177" s="243">
        <f t="shared" si="235"/>
        <v>98.9968157869929</v>
      </c>
      <c r="AT177" s="164">
        <v>37885.5</v>
      </c>
      <c r="AU177" s="129">
        <f>AT177*100/I177</f>
        <v>100</v>
      </c>
      <c r="AV177" s="101"/>
      <c r="AW177" s="97">
        <v>5103.2</v>
      </c>
      <c r="AX177" s="97">
        <f>AQ177-AN177</f>
        <v>3470.9999999999927</v>
      </c>
      <c r="AY177" s="167">
        <f>IF(AW177=0,0,AX177*100/AW177)</f>
        <v>68.01614673146247</v>
      </c>
      <c r="AZ177" s="101"/>
      <c r="BA177" s="103"/>
    </row>
    <row r="178" spans="1:53" s="102" customFormat="1" ht="63.75">
      <c r="A178" s="256"/>
      <c r="B178" s="256"/>
      <c r="C178" s="256"/>
      <c r="D178" s="256"/>
      <c r="E178" s="256"/>
      <c r="F178" s="145" t="s">
        <v>38</v>
      </c>
      <c r="G178" s="179">
        <v>0</v>
      </c>
      <c r="H178" s="179">
        <v>0</v>
      </c>
      <c r="I178" s="180">
        <v>0</v>
      </c>
      <c r="J178" s="180">
        <v>0</v>
      </c>
      <c r="K178" s="180">
        <v>0</v>
      </c>
      <c r="L178" s="180">
        <v>0</v>
      </c>
      <c r="M178" s="180">
        <v>0</v>
      </c>
      <c r="N178" s="180">
        <v>0</v>
      </c>
      <c r="O178" s="130">
        <f aca="true" t="shared" si="236" ref="O178:Q180">N178</f>
        <v>0</v>
      </c>
      <c r="P178" s="130">
        <f t="shared" si="236"/>
        <v>0</v>
      </c>
      <c r="Q178" s="130">
        <f t="shared" si="236"/>
        <v>0</v>
      </c>
      <c r="R178" s="165">
        <v>0</v>
      </c>
      <c r="S178" s="166">
        <v>0</v>
      </c>
      <c r="T178" s="165">
        <v>0</v>
      </c>
      <c r="U178" s="167">
        <v>0</v>
      </c>
      <c r="V178" s="165">
        <v>0</v>
      </c>
      <c r="W178" s="167">
        <f t="shared" si="225"/>
        <v>0</v>
      </c>
      <c r="X178" s="165">
        <v>0</v>
      </c>
      <c r="Y178" s="167">
        <f t="shared" si="226"/>
        <v>0</v>
      </c>
      <c r="Z178" s="165">
        <v>0</v>
      </c>
      <c r="AA178" s="167">
        <f t="shared" si="227"/>
        <v>0</v>
      </c>
      <c r="AB178" s="165">
        <v>0</v>
      </c>
      <c r="AC178" s="167">
        <f t="shared" si="228"/>
        <v>0</v>
      </c>
      <c r="AD178" s="165">
        <v>0</v>
      </c>
      <c r="AE178" s="167">
        <f t="shared" si="229"/>
        <v>0</v>
      </c>
      <c r="AF178" s="165">
        <v>0</v>
      </c>
      <c r="AG178" s="167">
        <f t="shared" si="230"/>
        <v>0</v>
      </c>
      <c r="AH178" s="165">
        <v>0</v>
      </c>
      <c r="AI178" s="167">
        <f t="shared" si="231"/>
        <v>0</v>
      </c>
      <c r="AJ178" s="165">
        <v>0</v>
      </c>
      <c r="AK178" s="167">
        <f t="shared" si="232"/>
        <v>0</v>
      </c>
      <c r="AL178" s="165">
        <v>0</v>
      </c>
      <c r="AM178" s="134">
        <f t="shared" si="233"/>
        <v>0</v>
      </c>
      <c r="AN178" s="166">
        <v>0</v>
      </c>
      <c r="AO178" s="153">
        <v>0</v>
      </c>
      <c r="AP178" s="134">
        <f t="shared" si="234"/>
        <v>0</v>
      </c>
      <c r="AQ178" s="196">
        <f>IF(S178=0,0,AO178*100/S178)</f>
        <v>0</v>
      </c>
      <c r="AR178" s="154">
        <v>0</v>
      </c>
      <c r="AS178" s="243">
        <f t="shared" si="235"/>
        <v>0</v>
      </c>
      <c r="AT178" s="165">
        <v>0</v>
      </c>
      <c r="AU178" s="292">
        <v>0</v>
      </c>
      <c r="AV178" s="101"/>
      <c r="AW178" s="97">
        <v>0</v>
      </c>
      <c r="AX178" s="97">
        <v>0</v>
      </c>
      <c r="AY178" s="167">
        <f>IF(AW178=0,0,AX178*100/AW178)</f>
        <v>0</v>
      </c>
      <c r="AZ178" s="101"/>
      <c r="BA178" s="103"/>
    </row>
    <row r="179" spans="1:53" s="102" customFormat="1" ht="51">
      <c r="A179" s="256"/>
      <c r="B179" s="256"/>
      <c r="C179" s="256"/>
      <c r="D179" s="256"/>
      <c r="E179" s="256"/>
      <c r="F179" s="145" t="s">
        <v>23</v>
      </c>
      <c r="G179" s="179">
        <v>0</v>
      </c>
      <c r="H179" s="179">
        <v>0</v>
      </c>
      <c r="I179" s="180">
        <v>0</v>
      </c>
      <c r="J179" s="180">
        <v>0</v>
      </c>
      <c r="K179" s="180">
        <v>0</v>
      </c>
      <c r="L179" s="180">
        <v>0</v>
      </c>
      <c r="M179" s="180">
        <v>0</v>
      </c>
      <c r="N179" s="180">
        <v>0</v>
      </c>
      <c r="O179" s="130">
        <f t="shared" si="236"/>
        <v>0</v>
      </c>
      <c r="P179" s="130">
        <f t="shared" si="236"/>
        <v>0</v>
      </c>
      <c r="Q179" s="130">
        <f t="shared" si="236"/>
        <v>0</v>
      </c>
      <c r="R179" s="165">
        <v>0</v>
      </c>
      <c r="S179" s="166">
        <v>0</v>
      </c>
      <c r="T179" s="165">
        <v>0</v>
      </c>
      <c r="U179" s="167">
        <v>0</v>
      </c>
      <c r="V179" s="165">
        <v>0</v>
      </c>
      <c r="W179" s="167">
        <f t="shared" si="225"/>
        <v>0</v>
      </c>
      <c r="X179" s="165">
        <v>0</v>
      </c>
      <c r="Y179" s="167">
        <f t="shared" si="226"/>
        <v>0</v>
      </c>
      <c r="Z179" s="165">
        <v>0</v>
      </c>
      <c r="AA179" s="167">
        <f t="shared" si="227"/>
        <v>0</v>
      </c>
      <c r="AB179" s="165">
        <v>0</v>
      </c>
      <c r="AC179" s="167">
        <f t="shared" si="228"/>
        <v>0</v>
      </c>
      <c r="AD179" s="165">
        <v>0</v>
      </c>
      <c r="AE179" s="167">
        <f t="shared" si="229"/>
        <v>0</v>
      </c>
      <c r="AF179" s="165">
        <v>0</v>
      </c>
      <c r="AG179" s="167">
        <f t="shared" si="230"/>
        <v>0</v>
      </c>
      <c r="AH179" s="165">
        <v>0</v>
      </c>
      <c r="AI179" s="167">
        <f t="shared" si="231"/>
        <v>0</v>
      </c>
      <c r="AJ179" s="165">
        <v>0</v>
      </c>
      <c r="AK179" s="167">
        <f t="shared" si="232"/>
        <v>0</v>
      </c>
      <c r="AL179" s="165">
        <v>0</v>
      </c>
      <c r="AM179" s="134">
        <f t="shared" si="233"/>
        <v>0</v>
      </c>
      <c r="AN179" s="166">
        <v>0</v>
      </c>
      <c r="AO179" s="153">
        <v>0</v>
      </c>
      <c r="AP179" s="134">
        <f t="shared" si="234"/>
        <v>0</v>
      </c>
      <c r="AQ179" s="196">
        <f>IF(S179=0,0,AO179*100/S179)</f>
        <v>0</v>
      </c>
      <c r="AR179" s="154">
        <v>0</v>
      </c>
      <c r="AS179" s="243">
        <f t="shared" si="235"/>
        <v>0</v>
      </c>
      <c r="AT179" s="165">
        <v>0</v>
      </c>
      <c r="AU179" s="292">
        <v>0</v>
      </c>
      <c r="AV179" s="101"/>
      <c r="AW179" s="97">
        <v>0</v>
      </c>
      <c r="AX179" s="97">
        <v>0</v>
      </c>
      <c r="AY179" s="167">
        <f>IF(AW179=0,0,AX179*100/AW179)</f>
        <v>0</v>
      </c>
      <c r="AZ179" s="101"/>
      <c r="BA179" s="103"/>
    </row>
    <row r="180" spans="1:53" s="102" customFormat="1" ht="38.25">
      <c r="A180" s="256"/>
      <c r="B180" s="256"/>
      <c r="C180" s="256"/>
      <c r="D180" s="256"/>
      <c r="E180" s="256"/>
      <c r="F180" s="145" t="s">
        <v>44</v>
      </c>
      <c r="G180" s="179">
        <v>0</v>
      </c>
      <c r="H180" s="179">
        <v>0</v>
      </c>
      <c r="I180" s="180">
        <v>0</v>
      </c>
      <c r="J180" s="180">
        <v>0</v>
      </c>
      <c r="K180" s="180">
        <v>0</v>
      </c>
      <c r="L180" s="180">
        <v>0</v>
      </c>
      <c r="M180" s="180">
        <v>0</v>
      </c>
      <c r="N180" s="180">
        <v>0</v>
      </c>
      <c r="O180" s="130">
        <f t="shared" si="236"/>
        <v>0</v>
      </c>
      <c r="P180" s="130">
        <f t="shared" si="236"/>
        <v>0</v>
      </c>
      <c r="Q180" s="130">
        <f t="shared" si="236"/>
        <v>0</v>
      </c>
      <c r="R180" s="165">
        <v>0</v>
      </c>
      <c r="S180" s="166">
        <v>0</v>
      </c>
      <c r="T180" s="165">
        <v>0</v>
      </c>
      <c r="U180" s="167">
        <v>0</v>
      </c>
      <c r="V180" s="165">
        <v>0</v>
      </c>
      <c r="W180" s="167">
        <f t="shared" si="225"/>
        <v>0</v>
      </c>
      <c r="X180" s="165">
        <v>0</v>
      </c>
      <c r="Y180" s="167">
        <f t="shared" si="226"/>
        <v>0</v>
      </c>
      <c r="Z180" s="165">
        <v>0</v>
      </c>
      <c r="AA180" s="167">
        <f t="shared" si="227"/>
        <v>0</v>
      </c>
      <c r="AB180" s="165">
        <v>0</v>
      </c>
      <c r="AC180" s="167">
        <f t="shared" si="228"/>
        <v>0</v>
      </c>
      <c r="AD180" s="165">
        <v>0</v>
      </c>
      <c r="AE180" s="167">
        <f t="shared" si="229"/>
        <v>0</v>
      </c>
      <c r="AF180" s="165">
        <v>0</v>
      </c>
      <c r="AG180" s="167">
        <f t="shared" si="230"/>
        <v>0</v>
      </c>
      <c r="AH180" s="165">
        <v>0</v>
      </c>
      <c r="AI180" s="167">
        <f t="shared" si="231"/>
        <v>0</v>
      </c>
      <c r="AJ180" s="165">
        <v>0</v>
      </c>
      <c r="AK180" s="167">
        <f t="shared" si="232"/>
        <v>0</v>
      </c>
      <c r="AL180" s="165">
        <v>0</v>
      </c>
      <c r="AM180" s="134">
        <f t="shared" si="233"/>
        <v>0</v>
      </c>
      <c r="AN180" s="166">
        <v>0</v>
      </c>
      <c r="AO180" s="153">
        <v>0</v>
      </c>
      <c r="AP180" s="134">
        <f t="shared" si="234"/>
        <v>0</v>
      </c>
      <c r="AQ180" s="196">
        <f>IF(S180=0,0,AO180*100/S180)</f>
        <v>0</v>
      </c>
      <c r="AR180" s="154">
        <v>0</v>
      </c>
      <c r="AS180" s="243">
        <f t="shared" si="235"/>
        <v>0</v>
      </c>
      <c r="AT180" s="165">
        <v>0</v>
      </c>
      <c r="AU180" s="292">
        <v>0</v>
      </c>
      <c r="AV180" s="101"/>
      <c r="AW180" s="97">
        <v>0</v>
      </c>
      <c r="AX180" s="97">
        <v>0</v>
      </c>
      <c r="AY180" s="167">
        <f>IF(AW180=0,0,AX180*100/AW180)</f>
        <v>0</v>
      </c>
      <c r="AZ180" s="101"/>
      <c r="BA180" s="103"/>
    </row>
    <row r="181" spans="1:53" s="102" customFormat="1" ht="409.5">
      <c r="A181" s="124" t="s">
        <v>90</v>
      </c>
      <c r="B181" s="186">
        <v>24</v>
      </c>
      <c r="C181" s="187" t="s">
        <v>59</v>
      </c>
      <c r="D181" s="124" t="s">
        <v>179</v>
      </c>
      <c r="E181" s="124" t="s">
        <v>15</v>
      </c>
      <c r="F181" s="128" t="s">
        <v>26</v>
      </c>
      <c r="G181" s="149">
        <f aca="true" t="shared" si="237" ref="G181:M181">SUM(G183:G187)</f>
        <v>592464.6</v>
      </c>
      <c r="H181" s="149">
        <f t="shared" si="237"/>
        <v>592464.6</v>
      </c>
      <c r="I181" s="149">
        <f t="shared" si="237"/>
        <v>543001.4</v>
      </c>
      <c r="J181" s="149">
        <f t="shared" si="237"/>
        <v>592464.6</v>
      </c>
      <c r="K181" s="149">
        <f t="shared" si="237"/>
        <v>592464.6</v>
      </c>
      <c r="L181" s="149">
        <f t="shared" si="237"/>
        <v>592464.6</v>
      </c>
      <c r="M181" s="149">
        <f t="shared" si="237"/>
        <v>592464.6</v>
      </c>
      <c r="N181" s="188"/>
      <c r="O181" s="149">
        <f aca="true" t="shared" si="238" ref="O181:T181">SUM(O183:O187)</f>
        <v>592464.6</v>
      </c>
      <c r="P181" s="149">
        <f t="shared" si="238"/>
        <v>592464.6</v>
      </c>
      <c r="Q181" s="149">
        <f t="shared" si="238"/>
        <v>592464.6</v>
      </c>
      <c r="R181" s="149">
        <f t="shared" si="238"/>
        <v>592464.6</v>
      </c>
      <c r="S181" s="152">
        <f t="shared" si="238"/>
        <v>592464.6</v>
      </c>
      <c r="T181" s="149">
        <f t="shared" si="238"/>
        <v>9115.9</v>
      </c>
      <c r="U181" s="150">
        <f>SUM(T181/G181*100)</f>
        <v>1.538640452104649</v>
      </c>
      <c r="V181" s="149">
        <f>SUM(V183:V187)</f>
        <v>44229.7</v>
      </c>
      <c r="W181" s="150">
        <f t="shared" si="225"/>
        <v>7.465374302532169</v>
      </c>
      <c r="X181" s="149">
        <f>SUM(X183:X187)</f>
        <v>78753.2</v>
      </c>
      <c r="Y181" s="150">
        <f t="shared" si="226"/>
        <v>13.292473508121835</v>
      </c>
      <c r="Z181" s="149">
        <f>SUM(Z183:Z187)</f>
        <v>129935.5</v>
      </c>
      <c r="AA181" s="150">
        <f t="shared" si="227"/>
        <v>21.931352523003063</v>
      </c>
      <c r="AB181" s="149">
        <f>SUM(AB183:AB187)</f>
        <v>163912.7</v>
      </c>
      <c r="AC181" s="150">
        <f t="shared" si="228"/>
        <v>27.666243687808524</v>
      </c>
      <c r="AD181" s="149">
        <f>SUM(AD183:AD187)</f>
        <v>217429.4</v>
      </c>
      <c r="AE181" s="151">
        <f t="shared" si="229"/>
        <v>36.699137805026666</v>
      </c>
      <c r="AF181" s="149">
        <f>SUM(AF183:AF187)</f>
        <v>257772.4</v>
      </c>
      <c r="AG181" s="150">
        <f t="shared" si="230"/>
        <v>0</v>
      </c>
      <c r="AH181" s="149">
        <f>SUM(AH183:AH187)</f>
        <v>288448.7</v>
      </c>
      <c r="AI181" s="150">
        <f t="shared" si="231"/>
        <v>48.68623374291055</v>
      </c>
      <c r="AJ181" s="149">
        <f>SUM(AJ183:AJ187)</f>
        <v>349050.3</v>
      </c>
      <c r="AK181" s="150">
        <f t="shared" si="232"/>
        <v>58.91496302057541</v>
      </c>
      <c r="AL181" s="149">
        <f>SUM(AL183:AL187)</f>
        <v>384280.1</v>
      </c>
      <c r="AM181" s="150">
        <f t="shared" si="233"/>
        <v>64.86127609987162</v>
      </c>
      <c r="AN181" s="152">
        <f>SUM(AN183:AN187)</f>
        <v>411393</v>
      </c>
      <c r="AO181" s="153">
        <f>AN181/I181*100</f>
        <v>75.76278808857583</v>
      </c>
      <c r="AP181" s="150">
        <f t="shared" si="234"/>
        <v>69.43756639637203</v>
      </c>
      <c r="AQ181" s="152">
        <f>SUM(AQ183:AQ187)</f>
        <v>542794.7</v>
      </c>
      <c r="AR181" s="154">
        <f>AQ181/I181*100</f>
        <v>99.96193379980235</v>
      </c>
      <c r="AS181" s="189">
        <f t="shared" si="235"/>
        <v>91.61639362081716</v>
      </c>
      <c r="AT181" s="190">
        <f>SUM(AT183:AT187)</f>
        <v>543001.4</v>
      </c>
      <c r="AU181" s="129">
        <f>AT181*100/I181</f>
        <v>100</v>
      </c>
      <c r="AV181" s="213" t="s">
        <v>211</v>
      </c>
      <c r="AW181" s="191">
        <f>SUM(AW183:AW187)</f>
        <v>36398.7</v>
      </c>
      <c r="AX181" s="191">
        <f>SUM(AX183:AX187)</f>
        <v>36398.7</v>
      </c>
      <c r="AY181" s="191">
        <f>SUM(AY183:AY187)</f>
        <v>100</v>
      </c>
      <c r="AZ181" s="204" t="s">
        <v>207</v>
      </c>
      <c r="BA181" s="103"/>
    </row>
    <row r="182" spans="1:53" s="102" customFormat="1" ht="25.5">
      <c r="A182" s="256"/>
      <c r="B182" s="256"/>
      <c r="C182" s="256"/>
      <c r="D182" s="256"/>
      <c r="E182" s="256"/>
      <c r="F182" s="136" t="s">
        <v>29</v>
      </c>
      <c r="G182" s="137"/>
      <c r="H182" s="137"/>
      <c r="I182" s="137"/>
      <c r="J182" s="137"/>
      <c r="K182" s="137"/>
      <c r="L182" s="137"/>
      <c r="M182" s="137"/>
      <c r="N182" s="137"/>
      <c r="O182" s="137"/>
      <c r="P182" s="137"/>
      <c r="Q182" s="137"/>
      <c r="R182" s="137"/>
      <c r="S182" s="139"/>
      <c r="T182" s="137"/>
      <c r="U182" s="137"/>
      <c r="V182" s="137"/>
      <c r="W182" s="137"/>
      <c r="X182" s="137"/>
      <c r="Y182" s="137"/>
      <c r="Z182" s="137"/>
      <c r="AA182" s="137"/>
      <c r="AB182" s="137"/>
      <c r="AC182" s="137"/>
      <c r="AD182" s="137"/>
      <c r="AE182" s="138"/>
      <c r="AF182" s="137"/>
      <c r="AG182" s="137"/>
      <c r="AH182" s="137"/>
      <c r="AI182" s="137"/>
      <c r="AJ182" s="137"/>
      <c r="AK182" s="137"/>
      <c r="AL182" s="137"/>
      <c r="AM182" s="137"/>
      <c r="AN182" s="139"/>
      <c r="AO182" s="138"/>
      <c r="AP182" s="137"/>
      <c r="AQ182" s="139"/>
      <c r="AR182" s="140"/>
      <c r="AS182" s="139"/>
      <c r="AT182" s="142"/>
      <c r="AU182" s="143"/>
      <c r="AV182" s="101"/>
      <c r="AW182" s="194"/>
      <c r="AX182" s="142"/>
      <c r="AY182" s="193"/>
      <c r="AZ182" s="101"/>
      <c r="BA182" s="103"/>
    </row>
    <row r="183" spans="1:53" s="102" customFormat="1" ht="38.25">
      <c r="A183" s="256"/>
      <c r="B183" s="256"/>
      <c r="C183" s="256"/>
      <c r="D183" s="256"/>
      <c r="E183" s="256"/>
      <c r="F183" s="144" t="s">
        <v>27</v>
      </c>
      <c r="G183" s="179">
        <v>0</v>
      </c>
      <c r="H183" s="179">
        <v>0</v>
      </c>
      <c r="I183" s="180">
        <v>0</v>
      </c>
      <c r="J183" s="180">
        <v>0</v>
      </c>
      <c r="K183" s="180">
        <v>0</v>
      </c>
      <c r="L183" s="197">
        <v>0</v>
      </c>
      <c r="M183" s="197">
        <v>0</v>
      </c>
      <c r="N183" s="197">
        <f aca="true" t="shared" si="239" ref="N183:O187">M183</f>
        <v>0</v>
      </c>
      <c r="O183" s="180">
        <f t="shared" si="239"/>
        <v>0</v>
      </c>
      <c r="P183" s="197">
        <v>0</v>
      </c>
      <c r="Q183" s="197">
        <v>0</v>
      </c>
      <c r="R183" s="197">
        <v>0</v>
      </c>
      <c r="S183" s="198">
        <v>0</v>
      </c>
      <c r="T183" s="197">
        <v>0</v>
      </c>
      <c r="U183" s="167">
        <v>0</v>
      </c>
      <c r="V183" s="197">
        <v>0</v>
      </c>
      <c r="W183" s="167">
        <f aca="true" t="shared" si="240" ref="W183:W188">IF(H183=0,0,V183*100/H183)</f>
        <v>0</v>
      </c>
      <c r="X183" s="197">
        <v>0</v>
      </c>
      <c r="Y183" s="167">
        <f aca="true" t="shared" si="241" ref="Y183:Y188">IF(J183=0,0,X183*100/J183)</f>
        <v>0</v>
      </c>
      <c r="Z183" s="197">
        <v>0</v>
      </c>
      <c r="AA183" s="167">
        <f aca="true" t="shared" si="242" ref="AA183:AA188">IF(K183=0,0,Z183*100/K183)</f>
        <v>0</v>
      </c>
      <c r="AB183" s="197">
        <v>0</v>
      </c>
      <c r="AC183" s="167">
        <f aca="true" t="shared" si="243" ref="AC183:AC188">IF(L183=0,0,AB183*100/L183)</f>
        <v>0</v>
      </c>
      <c r="AD183" s="197">
        <v>0</v>
      </c>
      <c r="AE183" s="167">
        <f aca="true" t="shared" si="244" ref="AE183:AE188">IF(O183=0,0,AD183*100/O183)</f>
        <v>0</v>
      </c>
      <c r="AF183" s="197">
        <v>0</v>
      </c>
      <c r="AG183" s="167">
        <f aca="true" t="shared" si="245" ref="AG183:AG188">IF(N183=0,0,AF183*100/N183)</f>
        <v>0</v>
      </c>
      <c r="AH183" s="197">
        <v>0</v>
      </c>
      <c r="AI183" s="167">
        <f aca="true" t="shared" si="246" ref="AI183:AI188">IF(O183=0,0,AH183*100/O183)</f>
        <v>0</v>
      </c>
      <c r="AJ183" s="197">
        <v>0</v>
      </c>
      <c r="AK183" s="167">
        <f aca="true" t="shared" si="247" ref="AK183:AK188">IF(P183=0,0,AJ183*100/P183)</f>
        <v>0</v>
      </c>
      <c r="AL183" s="197">
        <v>0</v>
      </c>
      <c r="AM183" s="134">
        <f aca="true" t="shared" si="248" ref="AM183:AM188">IF(Q183=0,0,AL183*100/Q183)</f>
        <v>0</v>
      </c>
      <c r="AN183" s="198">
        <v>0</v>
      </c>
      <c r="AO183" s="153">
        <v>0</v>
      </c>
      <c r="AP183" s="134">
        <f aca="true" t="shared" si="249" ref="AP183:AP188">IF(R183=0,0,AN183*100/R183)</f>
        <v>0</v>
      </c>
      <c r="AQ183" s="198">
        <v>0</v>
      </c>
      <c r="AR183" s="154">
        <v>0</v>
      </c>
      <c r="AS183" s="243">
        <f aca="true" t="shared" si="250" ref="AS183:AS188">IF(S183=0,0,AQ183*100/S183)</f>
        <v>0</v>
      </c>
      <c r="AT183" s="197">
        <v>0</v>
      </c>
      <c r="AU183" s="292">
        <v>0</v>
      </c>
      <c r="AV183" s="101"/>
      <c r="AW183" s="180">
        <v>0</v>
      </c>
      <c r="AX183" s="180">
        <v>0</v>
      </c>
      <c r="AY183" s="167">
        <f aca="true" t="shared" si="251" ref="AY183:AY188">IF(AW183=0,0,AX183*100/AW183)</f>
        <v>0</v>
      </c>
      <c r="AZ183" s="101"/>
      <c r="BA183" s="103"/>
    </row>
    <row r="184" spans="1:53" s="102" customFormat="1" ht="51">
      <c r="A184" s="256"/>
      <c r="B184" s="256"/>
      <c r="C184" s="256"/>
      <c r="D184" s="256"/>
      <c r="E184" s="256"/>
      <c r="F184" s="145" t="s">
        <v>30</v>
      </c>
      <c r="G184" s="179">
        <v>592464.6</v>
      </c>
      <c r="H184" s="179">
        <v>592464.6</v>
      </c>
      <c r="I184" s="180">
        <v>543001.4</v>
      </c>
      <c r="J184" s="180">
        <v>592464.6</v>
      </c>
      <c r="K184" s="180">
        <v>592464.6</v>
      </c>
      <c r="L184" s="180">
        <v>592464.6</v>
      </c>
      <c r="M184" s="180">
        <v>592464.6</v>
      </c>
      <c r="N184" s="165">
        <f t="shared" si="239"/>
        <v>592464.6</v>
      </c>
      <c r="O184" s="130">
        <f t="shared" si="239"/>
        <v>592464.6</v>
      </c>
      <c r="P184" s="165">
        <v>592464.6</v>
      </c>
      <c r="Q184" s="165">
        <v>592464.6</v>
      </c>
      <c r="R184" s="165">
        <v>592464.6</v>
      </c>
      <c r="S184" s="166">
        <v>592464.6</v>
      </c>
      <c r="T184" s="165">
        <v>9115.9</v>
      </c>
      <c r="U184" s="167">
        <f>SUM(T184/G184*100)</f>
        <v>1.538640452104649</v>
      </c>
      <c r="V184" s="165">
        <v>44229.7</v>
      </c>
      <c r="W184" s="167">
        <f t="shared" si="240"/>
        <v>7.465374302532169</v>
      </c>
      <c r="X184" s="165">
        <v>78753.2</v>
      </c>
      <c r="Y184" s="167">
        <f t="shared" si="241"/>
        <v>13.292473508121835</v>
      </c>
      <c r="Z184" s="165">
        <v>129935.5</v>
      </c>
      <c r="AA184" s="167">
        <f t="shared" si="242"/>
        <v>21.931352523003063</v>
      </c>
      <c r="AB184" s="165">
        <v>163912.7</v>
      </c>
      <c r="AC184" s="167">
        <f t="shared" si="243"/>
        <v>27.666243687808524</v>
      </c>
      <c r="AD184" s="165">
        <v>217429.4</v>
      </c>
      <c r="AE184" s="167">
        <f t="shared" si="244"/>
        <v>36.699137805026666</v>
      </c>
      <c r="AF184" s="165">
        <v>257772.4</v>
      </c>
      <c r="AG184" s="167">
        <f t="shared" si="245"/>
        <v>43.50848978993851</v>
      </c>
      <c r="AH184" s="165">
        <v>288448.7</v>
      </c>
      <c r="AI184" s="167">
        <f t="shared" si="246"/>
        <v>48.68623374291055</v>
      </c>
      <c r="AJ184" s="165">
        <v>349050.3</v>
      </c>
      <c r="AK184" s="167">
        <f t="shared" si="247"/>
        <v>58.91496302057541</v>
      </c>
      <c r="AL184" s="165">
        <v>384280.1</v>
      </c>
      <c r="AM184" s="134">
        <f t="shared" si="248"/>
        <v>64.86127609987162</v>
      </c>
      <c r="AN184" s="166">
        <v>411393</v>
      </c>
      <c r="AO184" s="153">
        <f>AN184/I184*100</f>
        <v>75.76278808857583</v>
      </c>
      <c r="AP184" s="134">
        <f t="shared" si="249"/>
        <v>69.43756639637203</v>
      </c>
      <c r="AQ184" s="166">
        <v>542794.7</v>
      </c>
      <c r="AR184" s="154">
        <f>AQ184/I184*100</f>
        <v>99.96193379980235</v>
      </c>
      <c r="AS184" s="243">
        <f t="shared" si="250"/>
        <v>91.61639362081716</v>
      </c>
      <c r="AT184" s="165">
        <v>543001.4</v>
      </c>
      <c r="AU184" s="129">
        <f>AT184*100/I184</f>
        <v>100</v>
      </c>
      <c r="AV184" s="101"/>
      <c r="AW184" s="130">
        <v>36398.7</v>
      </c>
      <c r="AX184" s="130">
        <v>36398.7</v>
      </c>
      <c r="AY184" s="167">
        <f t="shared" si="251"/>
        <v>100</v>
      </c>
      <c r="AZ184" s="101"/>
      <c r="BA184" s="103"/>
    </row>
    <row r="185" spans="1:53" s="102" customFormat="1" ht="63.75">
      <c r="A185" s="256"/>
      <c r="B185" s="256"/>
      <c r="C185" s="256"/>
      <c r="D185" s="256"/>
      <c r="E185" s="256"/>
      <c r="F185" s="145" t="s">
        <v>38</v>
      </c>
      <c r="G185" s="179">
        <v>0</v>
      </c>
      <c r="H185" s="179">
        <v>0</v>
      </c>
      <c r="I185" s="180">
        <v>0</v>
      </c>
      <c r="J185" s="180">
        <v>0</v>
      </c>
      <c r="K185" s="180">
        <v>0</v>
      </c>
      <c r="L185" s="165">
        <v>0</v>
      </c>
      <c r="M185" s="165">
        <v>0</v>
      </c>
      <c r="N185" s="165">
        <f t="shared" si="239"/>
        <v>0</v>
      </c>
      <c r="O185" s="130">
        <f t="shared" si="239"/>
        <v>0</v>
      </c>
      <c r="P185" s="165">
        <v>0</v>
      </c>
      <c r="Q185" s="165">
        <v>0</v>
      </c>
      <c r="R185" s="165">
        <v>0</v>
      </c>
      <c r="S185" s="166">
        <v>0</v>
      </c>
      <c r="T185" s="165">
        <v>0</v>
      </c>
      <c r="U185" s="167">
        <v>0</v>
      </c>
      <c r="V185" s="165">
        <v>0</v>
      </c>
      <c r="W185" s="167">
        <f t="shared" si="240"/>
        <v>0</v>
      </c>
      <c r="X185" s="165">
        <v>0</v>
      </c>
      <c r="Y185" s="167">
        <f t="shared" si="241"/>
        <v>0</v>
      </c>
      <c r="Z185" s="165">
        <v>0</v>
      </c>
      <c r="AA185" s="167">
        <f t="shared" si="242"/>
        <v>0</v>
      </c>
      <c r="AB185" s="165">
        <v>0</v>
      </c>
      <c r="AC185" s="167">
        <f t="shared" si="243"/>
        <v>0</v>
      </c>
      <c r="AD185" s="165">
        <v>0</v>
      </c>
      <c r="AE185" s="167">
        <f t="shared" si="244"/>
        <v>0</v>
      </c>
      <c r="AF185" s="165">
        <v>0</v>
      </c>
      <c r="AG185" s="167">
        <f t="shared" si="245"/>
        <v>0</v>
      </c>
      <c r="AH185" s="165">
        <v>0</v>
      </c>
      <c r="AI185" s="167">
        <f t="shared" si="246"/>
        <v>0</v>
      </c>
      <c r="AJ185" s="165">
        <v>0</v>
      </c>
      <c r="AK185" s="167">
        <f t="shared" si="247"/>
        <v>0</v>
      </c>
      <c r="AL185" s="165">
        <v>0</v>
      </c>
      <c r="AM185" s="134">
        <f t="shared" si="248"/>
        <v>0</v>
      </c>
      <c r="AN185" s="166">
        <v>0</v>
      </c>
      <c r="AO185" s="153">
        <v>0</v>
      </c>
      <c r="AP185" s="134">
        <f t="shared" si="249"/>
        <v>0</v>
      </c>
      <c r="AQ185" s="166">
        <v>0</v>
      </c>
      <c r="AR185" s="154">
        <v>0</v>
      </c>
      <c r="AS185" s="243">
        <f t="shared" si="250"/>
        <v>0</v>
      </c>
      <c r="AT185" s="165">
        <v>0</v>
      </c>
      <c r="AU185" s="292">
        <v>0</v>
      </c>
      <c r="AV185" s="101"/>
      <c r="AW185" s="165">
        <v>0</v>
      </c>
      <c r="AX185" s="165">
        <v>0</v>
      </c>
      <c r="AY185" s="167">
        <f t="shared" si="251"/>
        <v>0</v>
      </c>
      <c r="AZ185" s="101"/>
      <c r="BA185" s="103"/>
    </row>
    <row r="186" spans="1:53" s="102" customFormat="1" ht="51">
      <c r="A186" s="256"/>
      <c r="B186" s="256"/>
      <c r="C186" s="256"/>
      <c r="D186" s="256"/>
      <c r="E186" s="256"/>
      <c r="F186" s="145" t="s">
        <v>23</v>
      </c>
      <c r="G186" s="179">
        <v>0</v>
      </c>
      <c r="H186" s="179">
        <v>0</v>
      </c>
      <c r="I186" s="180">
        <v>0</v>
      </c>
      <c r="J186" s="180">
        <v>0</v>
      </c>
      <c r="K186" s="180">
        <v>0</v>
      </c>
      <c r="L186" s="165">
        <v>0</v>
      </c>
      <c r="M186" s="165">
        <v>0</v>
      </c>
      <c r="N186" s="165">
        <f t="shared" si="239"/>
        <v>0</v>
      </c>
      <c r="O186" s="130">
        <f t="shared" si="239"/>
        <v>0</v>
      </c>
      <c r="P186" s="165">
        <v>0</v>
      </c>
      <c r="Q186" s="165">
        <v>0</v>
      </c>
      <c r="R186" s="165">
        <v>0</v>
      </c>
      <c r="S186" s="166">
        <v>0</v>
      </c>
      <c r="T186" s="165">
        <v>0</v>
      </c>
      <c r="U186" s="167">
        <v>0</v>
      </c>
      <c r="V186" s="165">
        <v>0</v>
      </c>
      <c r="W186" s="167">
        <f t="shared" si="240"/>
        <v>0</v>
      </c>
      <c r="X186" s="165">
        <v>0</v>
      </c>
      <c r="Y186" s="167">
        <f t="shared" si="241"/>
        <v>0</v>
      </c>
      <c r="Z186" s="165">
        <v>0</v>
      </c>
      <c r="AA186" s="167">
        <f t="shared" si="242"/>
        <v>0</v>
      </c>
      <c r="AB186" s="165">
        <v>0</v>
      </c>
      <c r="AC186" s="167">
        <f t="shared" si="243"/>
        <v>0</v>
      </c>
      <c r="AD186" s="165">
        <v>0</v>
      </c>
      <c r="AE186" s="167">
        <f t="shared" si="244"/>
        <v>0</v>
      </c>
      <c r="AF186" s="165">
        <v>0</v>
      </c>
      <c r="AG186" s="167">
        <f t="shared" si="245"/>
        <v>0</v>
      </c>
      <c r="AH186" s="165">
        <v>0</v>
      </c>
      <c r="AI186" s="167">
        <f t="shared" si="246"/>
        <v>0</v>
      </c>
      <c r="AJ186" s="165">
        <v>0</v>
      </c>
      <c r="AK186" s="167">
        <f t="shared" si="247"/>
        <v>0</v>
      </c>
      <c r="AL186" s="165">
        <v>0</v>
      </c>
      <c r="AM186" s="134">
        <f t="shared" si="248"/>
        <v>0</v>
      </c>
      <c r="AN186" s="166">
        <v>0</v>
      </c>
      <c r="AO186" s="153">
        <v>0</v>
      </c>
      <c r="AP186" s="134">
        <f t="shared" si="249"/>
        <v>0</v>
      </c>
      <c r="AQ186" s="166">
        <v>0</v>
      </c>
      <c r="AR186" s="154">
        <v>0</v>
      </c>
      <c r="AS186" s="243">
        <f t="shared" si="250"/>
        <v>0</v>
      </c>
      <c r="AT186" s="165">
        <v>0</v>
      </c>
      <c r="AU186" s="292">
        <v>0</v>
      </c>
      <c r="AV186" s="101"/>
      <c r="AW186" s="165">
        <v>0</v>
      </c>
      <c r="AX186" s="165">
        <v>0</v>
      </c>
      <c r="AY186" s="167">
        <f t="shared" si="251"/>
        <v>0</v>
      </c>
      <c r="AZ186" s="101"/>
      <c r="BA186" s="103"/>
    </row>
    <row r="187" spans="1:53" s="102" customFormat="1" ht="38.25">
      <c r="A187" s="256"/>
      <c r="B187" s="256"/>
      <c r="C187" s="256"/>
      <c r="D187" s="256"/>
      <c r="E187" s="256"/>
      <c r="F187" s="145" t="s">
        <v>44</v>
      </c>
      <c r="G187" s="179">
        <v>0</v>
      </c>
      <c r="H187" s="179">
        <v>0</v>
      </c>
      <c r="I187" s="180">
        <v>0</v>
      </c>
      <c r="J187" s="180">
        <v>0</v>
      </c>
      <c r="K187" s="180">
        <v>0</v>
      </c>
      <c r="L187" s="165">
        <v>0</v>
      </c>
      <c r="M187" s="165">
        <v>0</v>
      </c>
      <c r="N187" s="165">
        <f t="shared" si="239"/>
        <v>0</v>
      </c>
      <c r="O187" s="130">
        <f t="shared" si="239"/>
        <v>0</v>
      </c>
      <c r="P187" s="165">
        <v>0</v>
      </c>
      <c r="Q187" s="165">
        <v>0</v>
      </c>
      <c r="R187" s="165">
        <v>0</v>
      </c>
      <c r="S187" s="166">
        <v>0</v>
      </c>
      <c r="T187" s="165">
        <v>0</v>
      </c>
      <c r="U187" s="167">
        <v>0</v>
      </c>
      <c r="V187" s="165">
        <v>0</v>
      </c>
      <c r="W187" s="167">
        <f t="shared" si="240"/>
        <v>0</v>
      </c>
      <c r="X187" s="165">
        <v>0</v>
      </c>
      <c r="Y187" s="167">
        <f t="shared" si="241"/>
        <v>0</v>
      </c>
      <c r="Z187" s="165">
        <v>0</v>
      </c>
      <c r="AA187" s="167">
        <f t="shared" si="242"/>
        <v>0</v>
      </c>
      <c r="AB187" s="165">
        <v>0</v>
      </c>
      <c r="AC187" s="167">
        <f t="shared" si="243"/>
        <v>0</v>
      </c>
      <c r="AD187" s="165">
        <v>0</v>
      </c>
      <c r="AE187" s="167">
        <f t="shared" si="244"/>
        <v>0</v>
      </c>
      <c r="AF187" s="165">
        <v>0</v>
      </c>
      <c r="AG187" s="167">
        <f t="shared" si="245"/>
        <v>0</v>
      </c>
      <c r="AH187" s="165">
        <v>0</v>
      </c>
      <c r="AI187" s="167">
        <f t="shared" si="246"/>
        <v>0</v>
      </c>
      <c r="AJ187" s="165">
        <v>0</v>
      </c>
      <c r="AK187" s="167">
        <f t="shared" si="247"/>
        <v>0</v>
      </c>
      <c r="AL187" s="165">
        <v>0</v>
      </c>
      <c r="AM187" s="134">
        <f t="shared" si="248"/>
        <v>0</v>
      </c>
      <c r="AN187" s="166">
        <v>0</v>
      </c>
      <c r="AO187" s="153">
        <v>0</v>
      </c>
      <c r="AP187" s="134">
        <f t="shared" si="249"/>
        <v>0</v>
      </c>
      <c r="AQ187" s="166">
        <v>0</v>
      </c>
      <c r="AR187" s="154">
        <v>0</v>
      </c>
      <c r="AS187" s="243">
        <f t="shared" si="250"/>
        <v>0</v>
      </c>
      <c r="AT187" s="165">
        <v>0</v>
      </c>
      <c r="AU187" s="292">
        <v>0</v>
      </c>
      <c r="AV187" s="101"/>
      <c r="AW187" s="165">
        <v>0</v>
      </c>
      <c r="AX187" s="165">
        <v>0</v>
      </c>
      <c r="AY187" s="167">
        <f t="shared" si="251"/>
        <v>0</v>
      </c>
      <c r="AZ187" s="101"/>
      <c r="BA187" s="103"/>
    </row>
    <row r="188" spans="1:53" s="102" customFormat="1" ht="409.5">
      <c r="A188" s="124" t="s">
        <v>47</v>
      </c>
      <c r="B188" s="250">
        <v>25</v>
      </c>
      <c r="C188" s="178" t="s">
        <v>60</v>
      </c>
      <c r="D188" s="124" t="s">
        <v>180</v>
      </c>
      <c r="E188" s="124" t="s">
        <v>10</v>
      </c>
      <c r="F188" s="128" t="s">
        <v>26</v>
      </c>
      <c r="G188" s="149">
        <f aca="true" t="shared" si="252" ref="G188:T188">SUM(G190:G194)</f>
        <v>25912</v>
      </c>
      <c r="H188" s="149">
        <f t="shared" si="252"/>
        <v>25912</v>
      </c>
      <c r="I188" s="149">
        <f t="shared" si="252"/>
        <v>17980.4</v>
      </c>
      <c r="J188" s="149">
        <f t="shared" si="252"/>
        <v>25912</v>
      </c>
      <c r="K188" s="149">
        <f t="shared" si="252"/>
        <v>25912</v>
      </c>
      <c r="L188" s="149">
        <f t="shared" si="252"/>
        <v>25912</v>
      </c>
      <c r="M188" s="149">
        <f t="shared" si="252"/>
        <v>25912</v>
      </c>
      <c r="N188" s="149">
        <f t="shared" si="252"/>
        <v>25912</v>
      </c>
      <c r="O188" s="149">
        <f t="shared" si="252"/>
        <v>25980.4</v>
      </c>
      <c r="P188" s="149">
        <f t="shared" si="252"/>
        <v>25980.4</v>
      </c>
      <c r="Q188" s="149">
        <f t="shared" si="252"/>
        <v>25980.4</v>
      </c>
      <c r="R188" s="252">
        <f t="shared" si="252"/>
        <v>25980.4</v>
      </c>
      <c r="S188" s="152">
        <f t="shared" si="252"/>
        <v>26203.6</v>
      </c>
      <c r="T188" s="149">
        <f t="shared" si="252"/>
        <v>0</v>
      </c>
      <c r="U188" s="150">
        <f>SUM(T188/G188*100)</f>
        <v>0</v>
      </c>
      <c r="V188" s="149">
        <f>SUM(V190:V194)</f>
        <v>141</v>
      </c>
      <c r="W188" s="150">
        <f t="shared" si="240"/>
        <v>0.5441494288360605</v>
      </c>
      <c r="X188" s="149">
        <f>SUM(X190:X194)</f>
        <v>412.5</v>
      </c>
      <c r="Y188" s="150">
        <f t="shared" si="241"/>
        <v>1.591926520531028</v>
      </c>
      <c r="Z188" s="149">
        <f>SUM(Z190:Z194)</f>
        <v>1487.7</v>
      </c>
      <c r="AA188" s="150">
        <f t="shared" si="242"/>
        <v>5.741355356591541</v>
      </c>
      <c r="AB188" s="149">
        <f>SUM(AB190:AB194)</f>
        <v>2107.8</v>
      </c>
      <c r="AC188" s="150">
        <f t="shared" si="243"/>
        <v>8.134455078728003</v>
      </c>
      <c r="AD188" s="149">
        <f>SUM(AD190:AD194)</f>
        <v>2581.2</v>
      </c>
      <c r="AE188" s="151">
        <f t="shared" si="244"/>
        <v>9.935181906360178</v>
      </c>
      <c r="AF188" s="149">
        <f>SUM(AF190:AF194)</f>
        <v>3631.9</v>
      </c>
      <c r="AG188" s="150">
        <f t="shared" si="245"/>
        <v>14.016285890707008</v>
      </c>
      <c r="AH188" s="149">
        <f>SUM(AH190:AH194)</f>
        <v>4631.5</v>
      </c>
      <c r="AI188" s="150">
        <f t="shared" si="246"/>
        <v>17.826900278671612</v>
      </c>
      <c r="AJ188" s="149">
        <f>SUM(AJ190:AJ194)</f>
        <v>6797.2</v>
      </c>
      <c r="AK188" s="150">
        <f t="shared" si="247"/>
        <v>26.162799648966143</v>
      </c>
      <c r="AL188" s="149">
        <f>SUM(AL190:AL194)</f>
        <v>9048.3</v>
      </c>
      <c r="AM188" s="150">
        <f t="shared" si="248"/>
        <v>34.827408353989924</v>
      </c>
      <c r="AN188" s="152">
        <f>SUM(AN190:AN194)</f>
        <v>9902.3</v>
      </c>
      <c r="AO188" s="153">
        <f>AN188/I188*100</f>
        <v>55.07274587884584</v>
      </c>
      <c r="AP188" s="150">
        <f t="shared" si="249"/>
        <v>38.1145017012825</v>
      </c>
      <c r="AQ188" s="152">
        <f>SUM(AQ190:AQ194)</f>
        <v>16685.1</v>
      </c>
      <c r="AR188" s="154">
        <f>AQ188/I188*100</f>
        <v>92.79604458187804</v>
      </c>
      <c r="AS188" s="189">
        <f t="shared" si="250"/>
        <v>63.67483857179929</v>
      </c>
      <c r="AT188" s="190">
        <f>SUM(AT190:AT194)</f>
        <v>15268.4</v>
      </c>
      <c r="AU188" s="129">
        <f>AT188*100/I188</f>
        <v>84.91690952370358</v>
      </c>
      <c r="AV188" s="213" t="s">
        <v>216</v>
      </c>
      <c r="AW188" s="129">
        <f>SUM(AW190:AW194)</f>
        <v>13086.900000000001</v>
      </c>
      <c r="AX188" s="129">
        <f>SUM(AX190:AX194)</f>
        <v>6782.8</v>
      </c>
      <c r="AY188" s="134">
        <f t="shared" si="251"/>
        <v>51.82892816480602</v>
      </c>
      <c r="AZ188" s="204" t="s">
        <v>217</v>
      </c>
      <c r="BA188" s="103"/>
    </row>
    <row r="189" spans="1:53" s="102" customFormat="1" ht="25.5">
      <c r="A189" s="256"/>
      <c r="B189" s="256"/>
      <c r="C189" s="256"/>
      <c r="D189" s="256"/>
      <c r="E189" s="256"/>
      <c r="F189" s="136" t="s">
        <v>29</v>
      </c>
      <c r="G189" s="137"/>
      <c r="H189" s="137"/>
      <c r="I189" s="137"/>
      <c r="J189" s="137"/>
      <c r="K189" s="137"/>
      <c r="L189" s="137"/>
      <c r="M189" s="137"/>
      <c r="N189" s="137"/>
      <c r="O189" s="137"/>
      <c r="P189" s="137"/>
      <c r="Q189" s="137"/>
      <c r="R189" s="137"/>
      <c r="S189" s="139"/>
      <c r="T189" s="137"/>
      <c r="U189" s="137"/>
      <c r="V189" s="137"/>
      <c r="W189" s="137"/>
      <c r="X189" s="137"/>
      <c r="Y189" s="137"/>
      <c r="Z189" s="137"/>
      <c r="AA189" s="137"/>
      <c r="AB189" s="137"/>
      <c r="AC189" s="137"/>
      <c r="AD189" s="137"/>
      <c r="AE189" s="138"/>
      <c r="AF189" s="137"/>
      <c r="AG189" s="137"/>
      <c r="AH189" s="137"/>
      <c r="AI189" s="137"/>
      <c r="AJ189" s="137"/>
      <c r="AK189" s="137"/>
      <c r="AL189" s="137"/>
      <c r="AM189" s="137"/>
      <c r="AN189" s="139"/>
      <c r="AO189" s="138"/>
      <c r="AP189" s="137"/>
      <c r="AQ189" s="139"/>
      <c r="AR189" s="140"/>
      <c r="AS189" s="139"/>
      <c r="AT189" s="142"/>
      <c r="AU189" s="143"/>
      <c r="AV189" s="101"/>
      <c r="AW189" s="194"/>
      <c r="AX189" s="142"/>
      <c r="AY189" s="193"/>
      <c r="AZ189" s="101"/>
      <c r="BA189" s="103"/>
    </row>
    <row r="190" spans="1:53" s="102" customFormat="1" ht="38.25">
      <c r="A190" s="256"/>
      <c r="B190" s="256"/>
      <c r="C190" s="256"/>
      <c r="D190" s="256"/>
      <c r="E190" s="256"/>
      <c r="F190" s="144" t="s">
        <v>27</v>
      </c>
      <c r="G190" s="179">
        <v>0</v>
      </c>
      <c r="H190" s="179">
        <v>0</v>
      </c>
      <c r="I190" s="180">
        <v>68.4</v>
      </c>
      <c r="J190" s="180">
        <v>0</v>
      </c>
      <c r="K190" s="180">
        <v>0</v>
      </c>
      <c r="L190" s="197">
        <v>0</v>
      </c>
      <c r="M190" s="197">
        <v>0</v>
      </c>
      <c r="N190" s="197">
        <v>0</v>
      </c>
      <c r="O190" s="180">
        <v>68.4</v>
      </c>
      <c r="P190" s="197">
        <v>68.4</v>
      </c>
      <c r="Q190" s="197">
        <v>68.4</v>
      </c>
      <c r="R190" s="197">
        <v>68.4</v>
      </c>
      <c r="S190" s="198">
        <v>291.6</v>
      </c>
      <c r="T190" s="197">
        <v>0</v>
      </c>
      <c r="U190" s="167">
        <v>0</v>
      </c>
      <c r="V190" s="197">
        <v>0</v>
      </c>
      <c r="W190" s="167">
        <f>IF(H190=0,0,V190*100/H190)</f>
        <v>0</v>
      </c>
      <c r="X190" s="197">
        <v>0</v>
      </c>
      <c r="Y190" s="167">
        <f>IF(J190=0,0,X190*100/J190)</f>
        <v>0</v>
      </c>
      <c r="Z190" s="197">
        <v>0</v>
      </c>
      <c r="AA190" s="167">
        <f aca="true" t="shared" si="253" ref="AA190:AA195">IF(K190=0,0,Z190*100/K190)</f>
        <v>0</v>
      </c>
      <c r="AB190" s="197">
        <v>0</v>
      </c>
      <c r="AC190" s="167">
        <f aca="true" t="shared" si="254" ref="AC190:AC195">IF(L190=0,0,AB190*100/L190)</f>
        <v>0</v>
      </c>
      <c r="AD190" s="197"/>
      <c r="AE190" s="167">
        <f aca="true" t="shared" si="255" ref="AE190:AE195">IF(O190=0,0,AD190*100/O190)</f>
        <v>0</v>
      </c>
      <c r="AF190" s="197">
        <v>0</v>
      </c>
      <c r="AG190" s="167">
        <f aca="true" t="shared" si="256" ref="AG190:AG195">IF(N190=0,0,AF190*100/N190)</f>
        <v>0</v>
      </c>
      <c r="AH190" s="197">
        <v>0</v>
      </c>
      <c r="AI190" s="167">
        <f aca="true" t="shared" si="257" ref="AI190:AI195">IF(O190=0,0,AH190*100/O190)</f>
        <v>0</v>
      </c>
      <c r="AJ190" s="197">
        <v>0</v>
      </c>
      <c r="AK190" s="167">
        <f aca="true" t="shared" si="258" ref="AK190:AK195">IF(P190=0,0,AJ190*100/P190)</f>
        <v>0</v>
      </c>
      <c r="AL190" s="197">
        <v>0</v>
      </c>
      <c r="AM190" s="134">
        <f aca="true" t="shared" si="259" ref="AM190:AM195">IF(Q190=0,0,AL190*100/Q190)</f>
        <v>0</v>
      </c>
      <c r="AN190" s="198">
        <v>25</v>
      </c>
      <c r="AO190" s="153">
        <f>AN190/I190*100</f>
        <v>36.549707602339176</v>
      </c>
      <c r="AP190" s="134">
        <f aca="true" t="shared" si="260" ref="AP190:AP195">IF(R190=0,0,AN190*100/R190)</f>
        <v>36.549707602339176</v>
      </c>
      <c r="AQ190" s="198">
        <v>189.8</v>
      </c>
      <c r="AR190" s="154">
        <f>AQ190/I190*100</f>
        <v>277.48538011695905</v>
      </c>
      <c r="AS190" s="243">
        <f aca="true" t="shared" si="261" ref="AS190:AS195">IF(S190=0,0,AQ190*100/S190)</f>
        <v>65.08916323731138</v>
      </c>
      <c r="AT190" s="167">
        <v>68.4</v>
      </c>
      <c r="AU190" s="129">
        <f>AT190*100/I190</f>
        <v>100</v>
      </c>
      <c r="AV190" s="101"/>
      <c r="AW190" s="130">
        <v>223.2</v>
      </c>
      <c r="AX190" s="130">
        <v>164.8</v>
      </c>
      <c r="AY190" s="167">
        <f aca="true" t="shared" si="262" ref="AY190:AY195">IF(AW190=0,0,AX190*100/AW190)</f>
        <v>73.83512544802868</v>
      </c>
      <c r="AZ190" s="101"/>
      <c r="BA190" s="103"/>
    </row>
    <row r="191" spans="1:53" s="102" customFormat="1" ht="51">
      <c r="A191" s="256"/>
      <c r="B191" s="256"/>
      <c r="C191" s="256"/>
      <c r="D191" s="256"/>
      <c r="E191" s="256"/>
      <c r="F191" s="145" t="s">
        <v>30</v>
      </c>
      <c r="G191" s="179">
        <v>25912</v>
      </c>
      <c r="H191" s="179">
        <v>25912</v>
      </c>
      <c r="I191" s="180">
        <v>17912</v>
      </c>
      <c r="J191" s="180">
        <v>25912</v>
      </c>
      <c r="K191" s="180">
        <v>25912</v>
      </c>
      <c r="L191" s="180">
        <v>25912</v>
      </c>
      <c r="M191" s="180">
        <v>25912</v>
      </c>
      <c r="N191" s="180">
        <v>25912</v>
      </c>
      <c r="O191" s="130">
        <v>25912</v>
      </c>
      <c r="P191" s="180">
        <v>25912</v>
      </c>
      <c r="Q191" s="180">
        <v>25912</v>
      </c>
      <c r="R191" s="180">
        <v>25912</v>
      </c>
      <c r="S191" s="166">
        <v>25912</v>
      </c>
      <c r="T191" s="165">
        <v>0</v>
      </c>
      <c r="U191" s="167">
        <f>SUM(T191/G191*100)</f>
        <v>0</v>
      </c>
      <c r="V191" s="165">
        <v>141</v>
      </c>
      <c r="W191" s="167">
        <f>IF(H191=0,0,V191*100/H191)</f>
        <v>0.5441494288360605</v>
      </c>
      <c r="X191" s="165">
        <v>412.5</v>
      </c>
      <c r="Y191" s="167">
        <f>IF(J191=0,0,X191*100/J191)</f>
        <v>1.591926520531028</v>
      </c>
      <c r="Z191" s="165">
        <v>1487.7</v>
      </c>
      <c r="AA191" s="167">
        <f t="shared" si="253"/>
        <v>5.741355356591541</v>
      </c>
      <c r="AB191" s="165">
        <v>2107.8</v>
      </c>
      <c r="AC191" s="167">
        <f t="shared" si="254"/>
        <v>8.134455078728003</v>
      </c>
      <c r="AD191" s="165">
        <v>2581.2</v>
      </c>
      <c r="AE191" s="167">
        <f t="shared" si="255"/>
        <v>9.961407841926519</v>
      </c>
      <c r="AF191" s="165">
        <v>3631.9</v>
      </c>
      <c r="AG191" s="167">
        <f t="shared" si="256"/>
        <v>14.016285890707008</v>
      </c>
      <c r="AH191" s="165">
        <v>4631.5</v>
      </c>
      <c r="AI191" s="167">
        <f t="shared" si="257"/>
        <v>17.873958011732014</v>
      </c>
      <c r="AJ191" s="165">
        <v>6797.2</v>
      </c>
      <c r="AK191" s="167">
        <f t="shared" si="258"/>
        <v>26.231861685705464</v>
      </c>
      <c r="AL191" s="165">
        <v>9048.3</v>
      </c>
      <c r="AM191" s="134">
        <f t="shared" si="259"/>
        <v>34.91934238962642</v>
      </c>
      <c r="AN191" s="166">
        <v>9877.3</v>
      </c>
      <c r="AO191" s="153">
        <f>AN191/I191*100</f>
        <v>55.14347923179991</v>
      </c>
      <c r="AP191" s="134">
        <f t="shared" si="260"/>
        <v>38.11863229391787</v>
      </c>
      <c r="AQ191" s="166">
        <v>16495.3</v>
      </c>
      <c r="AR191" s="154">
        <f>AQ191/I191*100</f>
        <v>92.0907771326485</v>
      </c>
      <c r="AS191" s="243">
        <f t="shared" si="261"/>
        <v>63.65892250694659</v>
      </c>
      <c r="AT191" s="164">
        <v>15200</v>
      </c>
      <c r="AU191" s="129">
        <f>AT191*100/I191</f>
        <v>84.85931219294328</v>
      </c>
      <c r="AV191" s="101"/>
      <c r="AW191" s="130">
        <v>12863.7</v>
      </c>
      <c r="AX191" s="130">
        <v>6618</v>
      </c>
      <c r="AY191" s="167">
        <f t="shared" si="262"/>
        <v>51.44709531472282</v>
      </c>
      <c r="AZ191" s="101"/>
      <c r="BA191" s="103"/>
    </row>
    <row r="192" spans="1:53" s="102" customFormat="1" ht="63.75">
      <c r="A192" s="256"/>
      <c r="B192" s="256"/>
      <c r="C192" s="256"/>
      <c r="D192" s="256"/>
      <c r="E192" s="256"/>
      <c r="F192" s="145" t="s">
        <v>38</v>
      </c>
      <c r="G192" s="179">
        <v>0</v>
      </c>
      <c r="H192" s="179">
        <v>0</v>
      </c>
      <c r="I192" s="180">
        <v>0</v>
      </c>
      <c r="J192" s="180">
        <v>0</v>
      </c>
      <c r="K192" s="180">
        <v>0</v>
      </c>
      <c r="L192" s="165">
        <v>0</v>
      </c>
      <c r="M192" s="165">
        <v>0</v>
      </c>
      <c r="N192" s="165">
        <v>0</v>
      </c>
      <c r="O192" s="165">
        <v>0</v>
      </c>
      <c r="P192" s="165">
        <v>0</v>
      </c>
      <c r="Q192" s="165">
        <v>0</v>
      </c>
      <c r="R192" s="165">
        <v>0</v>
      </c>
      <c r="S192" s="200">
        <v>0</v>
      </c>
      <c r="T192" s="165">
        <v>0</v>
      </c>
      <c r="U192" s="167">
        <v>0</v>
      </c>
      <c r="V192" s="165">
        <v>0</v>
      </c>
      <c r="W192" s="167">
        <f>IF(H192=0,0,V192*100/H192)</f>
        <v>0</v>
      </c>
      <c r="X192" s="165">
        <v>0</v>
      </c>
      <c r="Y192" s="167">
        <f>IF(J192=0,0,X192*100/J192)</f>
        <v>0</v>
      </c>
      <c r="Z192" s="165">
        <v>0</v>
      </c>
      <c r="AA192" s="167">
        <f t="shared" si="253"/>
        <v>0</v>
      </c>
      <c r="AB192" s="165">
        <v>0</v>
      </c>
      <c r="AC192" s="167">
        <f t="shared" si="254"/>
        <v>0</v>
      </c>
      <c r="AD192" s="165"/>
      <c r="AE192" s="167">
        <f t="shared" si="255"/>
        <v>0</v>
      </c>
      <c r="AF192" s="165">
        <v>0</v>
      </c>
      <c r="AG192" s="167">
        <f t="shared" si="256"/>
        <v>0</v>
      </c>
      <c r="AH192" s="165">
        <v>0</v>
      </c>
      <c r="AI192" s="167">
        <f t="shared" si="257"/>
        <v>0</v>
      </c>
      <c r="AJ192" s="165">
        <v>0</v>
      </c>
      <c r="AK192" s="167">
        <f t="shared" si="258"/>
        <v>0</v>
      </c>
      <c r="AL192" s="165">
        <v>0</v>
      </c>
      <c r="AM192" s="134">
        <f t="shared" si="259"/>
        <v>0</v>
      </c>
      <c r="AN192" s="166">
        <v>0</v>
      </c>
      <c r="AO192" s="153">
        <v>0</v>
      </c>
      <c r="AP192" s="134">
        <f t="shared" si="260"/>
        <v>0</v>
      </c>
      <c r="AQ192" s="200">
        <v>0</v>
      </c>
      <c r="AR192" s="154">
        <v>0</v>
      </c>
      <c r="AS192" s="243">
        <f t="shared" si="261"/>
        <v>0</v>
      </c>
      <c r="AT192" s="165">
        <v>0</v>
      </c>
      <c r="AU192" s="292">
        <v>0</v>
      </c>
      <c r="AV192" s="101"/>
      <c r="AW192" s="130">
        <v>0</v>
      </c>
      <c r="AX192" s="130">
        <v>0</v>
      </c>
      <c r="AY192" s="167">
        <f t="shared" si="262"/>
        <v>0</v>
      </c>
      <c r="AZ192" s="101"/>
      <c r="BA192" s="103"/>
    </row>
    <row r="193" spans="1:53" s="102" customFormat="1" ht="51">
      <c r="A193" s="256"/>
      <c r="B193" s="256"/>
      <c r="C193" s="256"/>
      <c r="D193" s="256"/>
      <c r="E193" s="256"/>
      <c r="F193" s="145" t="s">
        <v>23</v>
      </c>
      <c r="G193" s="179">
        <v>0</v>
      </c>
      <c r="H193" s="179">
        <v>0</v>
      </c>
      <c r="I193" s="180">
        <v>0</v>
      </c>
      <c r="J193" s="180">
        <v>0</v>
      </c>
      <c r="K193" s="180">
        <v>0</v>
      </c>
      <c r="L193" s="165">
        <v>0</v>
      </c>
      <c r="M193" s="165">
        <v>0</v>
      </c>
      <c r="N193" s="165">
        <v>0</v>
      </c>
      <c r="O193" s="165">
        <v>0</v>
      </c>
      <c r="P193" s="165">
        <v>0</v>
      </c>
      <c r="Q193" s="165">
        <v>0</v>
      </c>
      <c r="R193" s="165">
        <v>0</v>
      </c>
      <c r="S193" s="200">
        <v>0</v>
      </c>
      <c r="T193" s="165">
        <v>0</v>
      </c>
      <c r="U193" s="167">
        <v>0</v>
      </c>
      <c r="V193" s="165">
        <v>0</v>
      </c>
      <c r="W193" s="167">
        <f>IF(H193=0,0,V193*100/H193)</f>
        <v>0</v>
      </c>
      <c r="X193" s="165">
        <v>0</v>
      </c>
      <c r="Y193" s="167">
        <f>IF(J193=0,0,X193*100/J193)</f>
        <v>0</v>
      </c>
      <c r="Z193" s="165">
        <v>0</v>
      </c>
      <c r="AA193" s="167">
        <f t="shared" si="253"/>
        <v>0</v>
      </c>
      <c r="AB193" s="165">
        <v>0</v>
      </c>
      <c r="AC193" s="167">
        <f t="shared" si="254"/>
        <v>0</v>
      </c>
      <c r="AD193" s="165"/>
      <c r="AE193" s="167">
        <f t="shared" si="255"/>
        <v>0</v>
      </c>
      <c r="AF193" s="165">
        <v>0</v>
      </c>
      <c r="AG193" s="167">
        <f t="shared" si="256"/>
        <v>0</v>
      </c>
      <c r="AH193" s="165">
        <v>0</v>
      </c>
      <c r="AI193" s="167">
        <f t="shared" si="257"/>
        <v>0</v>
      </c>
      <c r="AJ193" s="165">
        <v>0</v>
      </c>
      <c r="AK193" s="167">
        <f t="shared" si="258"/>
        <v>0</v>
      </c>
      <c r="AL193" s="165">
        <v>0</v>
      </c>
      <c r="AM193" s="134">
        <f t="shared" si="259"/>
        <v>0</v>
      </c>
      <c r="AN193" s="166">
        <v>0</v>
      </c>
      <c r="AO193" s="153">
        <v>0</v>
      </c>
      <c r="AP193" s="134">
        <f t="shared" si="260"/>
        <v>0</v>
      </c>
      <c r="AQ193" s="200">
        <v>0</v>
      </c>
      <c r="AR193" s="154">
        <v>0</v>
      </c>
      <c r="AS193" s="243">
        <f t="shared" si="261"/>
        <v>0</v>
      </c>
      <c r="AT193" s="165"/>
      <c r="AU193" s="292">
        <v>0</v>
      </c>
      <c r="AV193" s="101"/>
      <c r="AW193" s="130">
        <v>0</v>
      </c>
      <c r="AX193" s="130">
        <v>0</v>
      </c>
      <c r="AY193" s="167">
        <f t="shared" si="262"/>
        <v>0</v>
      </c>
      <c r="AZ193" s="101"/>
      <c r="BA193" s="103"/>
    </row>
    <row r="194" spans="1:53" s="102" customFormat="1" ht="38.25">
      <c r="A194" s="256"/>
      <c r="B194" s="256"/>
      <c r="C194" s="256"/>
      <c r="D194" s="256"/>
      <c r="E194" s="256"/>
      <c r="F194" s="145" t="s">
        <v>44</v>
      </c>
      <c r="G194" s="179">
        <v>0</v>
      </c>
      <c r="H194" s="179">
        <v>0</v>
      </c>
      <c r="I194" s="180">
        <v>0</v>
      </c>
      <c r="J194" s="180">
        <v>0</v>
      </c>
      <c r="K194" s="180">
        <v>0</v>
      </c>
      <c r="L194" s="165">
        <v>0</v>
      </c>
      <c r="M194" s="165">
        <v>0</v>
      </c>
      <c r="N194" s="165">
        <v>0</v>
      </c>
      <c r="O194" s="165">
        <v>0</v>
      </c>
      <c r="P194" s="165">
        <v>0</v>
      </c>
      <c r="Q194" s="165">
        <v>0</v>
      </c>
      <c r="R194" s="165">
        <v>0</v>
      </c>
      <c r="S194" s="200">
        <v>0</v>
      </c>
      <c r="T194" s="165">
        <v>0</v>
      </c>
      <c r="U194" s="167">
        <v>0</v>
      </c>
      <c r="V194" s="165">
        <v>0</v>
      </c>
      <c r="W194" s="167">
        <f>IF(H194=0,0,V194*100/H194)</f>
        <v>0</v>
      </c>
      <c r="X194" s="165">
        <v>0</v>
      </c>
      <c r="Y194" s="167">
        <f>IF(J194=0,0,X194*100/J194)</f>
        <v>0</v>
      </c>
      <c r="Z194" s="165">
        <v>0</v>
      </c>
      <c r="AA194" s="167">
        <f t="shared" si="253"/>
        <v>0</v>
      </c>
      <c r="AB194" s="165">
        <v>0</v>
      </c>
      <c r="AC194" s="167">
        <f t="shared" si="254"/>
        <v>0</v>
      </c>
      <c r="AD194" s="165"/>
      <c r="AE194" s="167">
        <f t="shared" si="255"/>
        <v>0</v>
      </c>
      <c r="AF194" s="165">
        <v>0</v>
      </c>
      <c r="AG194" s="167">
        <f t="shared" si="256"/>
        <v>0</v>
      </c>
      <c r="AH194" s="165">
        <v>0</v>
      </c>
      <c r="AI194" s="167">
        <f t="shared" si="257"/>
        <v>0</v>
      </c>
      <c r="AJ194" s="165">
        <v>0</v>
      </c>
      <c r="AK194" s="167">
        <f t="shared" si="258"/>
        <v>0</v>
      </c>
      <c r="AL194" s="165">
        <v>0</v>
      </c>
      <c r="AM194" s="134">
        <f t="shared" si="259"/>
        <v>0</v>
      </c>
      <c r="AN194" s="166">
        <v>0</v>
      </c>
      <c r="AO194" s="153">
        <v>0</v>
      </c>
      <c r="AP194" s="134">
        <f t="shared" si="260"/>
        <v>0</v>
      </c>
      <c r="AQ194" s="200">
        <v>0</v>
      </c>
      <c r="AR194" s="154">
        <v>0</v>
      </c>
      <c r="AS194" s="243">
        <f t="shared" si="261"/>
        <v>0</v>
      </c>
      <c r="AT194" s="165">
        <v>0</v>
      </c>
      <c r="AU194" s="292">
        <v>0</v>
      </c>
      <c r="AV194" s="101"/>
      <c r="AW194" s="130">
        <v>0</v>
      </c>
      <c r="AX194" s="130">
        <v>0</v>
      </c>
      <c r="AY194" s="167">
        <f t="shared" si="262"/>
        <v>0</v>
      </c>
      <c r="AZ194" s="101"/>
      <c r="BA194" s="103"/>
    </row>
    <row r="195" spans="1:53" s="102" customFormat="1" ht="38.25">
      <c r="A195" s="124"/>
      <c r="B195" s="124"/>
      <c r="C195" s="108" t="s">
        <v>45</v>
      </c>
      <c r="D195" s="124"/>
      <c r="E195" s="124"/>
      <c r="F195" s="128" t="s">
        <v>5</v>
      </c>
      <c r="G195" s="191">
        <f>SUM(G12+G22+G29+G36+G43+G51+G59+G66+G73+G80+G87+G94+G101+G108+G115+G122+G129+G136+G146+G153+G160+G167+G174+G181+G188)</f>
        <v>235934597.31</v>
      </c>
      <c r="H195" s="191">
        <f>SUM(H12+H22+H29+H36+H43+H51+H59+H66+H73+H80+H87+H94+H101+H108+H115+H122+H129+H136+H146+H153+H160+H167+H174+H181+H188)</f>
        <v>276273110.40000004</v>
      </c>
      <c r="I195" s="191">
        <f>SUM(I12+I22+I29+I36+I43+I51+I59+I66+I73+I80+I87+I94+I101+I108+I115+I122+I129+I136+I146+I153+I160+I167+I174+I181+I188)+58015.8</f>
        <v>250460067.48999995</v>
      </c>
      <c r="J195" s="191">
        <f aca="true" t="shared" si="263" ref="J195:Z195">SUM(J12+J22+J29+J36+J43+J51+J59+J66+J73+J80+J87+J94+J101+J108+J115+J122+J129+J136+J146+J153+J160+J167+J174+J181+J188)</f>
        <v>272732824.89</v>
      </c>
      <c r="K195" s="191">
        <f t="shared" si="263"/>
        <v>269907474.5900001</v>
      </c>
      <c r="L195" s="191">
        <f t="shared" si="263"/>
        <v>269536705.5900001</v>
      </c>
      <c r="M195" s="191">
        <f t="shared" si="263"/>
        <v>268738185.505</v>
      </c>
      <c r="N195" s="191">
        <f t="shared" si="263"/>
        <v>261366001.81500003</v>
      </c>
      <c r="O195" s="191">
        <f t="shared" si="263"/>
        <v>265303330.216</v>
      </c>
      <c r="P195" s="191">
        <f t="shared" si="263"/>
        <v>265913887.95199996</v>
      </c>
      <c r="Q195" s="191">
        <f t="shared" si="263"/>
        <v>271195437.352</v>
      </c>
      <c r="R195" s="191">
        <f t="shared" si="263"/>
        <v>272049764.25100005</v>
      </c>
      <c r="S195" s="242">
        <f t="shared" si="263"/>
        <v>259396075.80000004</v>
      </c>
      <c r="T195" s="191">
        <f t="shared" si="263"/>
        <v>19891084.6</v>
      </c>
      <c r="U195" s="191">
        <f t="shared" si="263"/>
        <v>12524936.105586067</v>
      </c>
      <c r="V195" s="191">
        <f t="shared" si="263"/>
        <v>35672472.42315</v>
      </c>
      <c r="W195" s="191">
        <f t="shared" si="263"/>
        <v>12525114.140964644</v>
      </c>
      <c r="X195" s="191">
        <f t="shared" si="263"/>
        <v>48374878.867000006</v>
      </c>
      <c r="Y195" s="191">
        <f t="shared" si="263"/>
        <v>12525334.017881433</v>
      </c>
      <c r="Z195" s="191">
        <f t="shared" si="263"/>
        <v>67164605.23925002</v>
      </c>
      <c r="AA195" s="150">
        <f t="shared" si="253"/>
        <v>24.884307239462583</v>
      </c>
      <c r="AB195" s="191">
        <f>SUM(AB12+AB22+AB29+AB36+AB43+AB51+AB59+AB66+AB73+AB80+AB87+AB94+AB101+AB108+AB115+AB122+AB129+AB136+AB146+AB153+AB160+AB167+AB174+AB181+AB188)</f>
        <v>83874740.54500002</v>
      </c>
      <c r="AC195" s="150">
        <f t="shared" si="254"/>
        <v>31.118114455470216</v>
      </c>
      <c r="AD195" s="191">
        <f>SUM(AD12+AD22+AD29+AD36+AD43+AD51+AD59+AD66+AD73+AD80+AD87+AD94+AD101+AD108+AD115+AD122+AD129+AD136+AD146+AD153+AD160+AD167+AD174+AD181+AD188)</f>
        <v>103247040.76218899</v>
      </c>
      <c r="AE195" s="151">
        <f t="shared" si="255"/>
        <v>38.9166018678051</v>
      </c>
      <c r="AF195" s="191">
        <f>SUM(AF12+AF22+AF29+AF36+AF43+AF51+AF59+AF66+AF73+AF80+AF87+AF94+AF101+AF108+AF115+AF122+AF129+AF136+AF146+AF153+AF160+AF167+AF174+AF181+AF188)</f>
        <v>122186460.30000006</v>
      </c>
      <c r="AG195" s="150">
        <f t="shared" si="256"/>
        <v>46.749179101911665</v>
      </c>
      <c r="AH195" s="191">
        <f>SUM(AH12+AH22+AH29+AH36+AH43+AH51+AH59+AH66+AH73+AH80+AH87+AH94+AH101+AH108+AH115+AH122+AH129+AH136+AH146+AH153+AH160+AH167+AH174+AH181+AH188)</f>
        <v>131594516.42959884</v>
      </c>
      <c r="AI195" s="150">
        <f t="shared" si="257"/>
        <v>49.60153207366811</v>
      </c>
      <c r="AJ195" s="191">
        <f>SUM(AJ12+AJ22+AJ29+AJ36+AJ43+AJ51+AJ59+AJ66+AJ73+AJ80+AJ87+AJ94+AJ101+AJ108+AJ115+AJ122+AJ129+AJ136+AJ146+AJ153+AJ160+AJ167+AJ174+AJ181+AJ188)</f>
        <v>148131529.5805433</v>
      </c>
      <c r="AK195" s="150">
        <f t="shared" si="258"/>
        <v>55.70657881820843</v>
      </c>
      <c r="AL195" s="191">
        <f>SUM(AL12+AL22+AL29+AL36+AL43+AL51+AL59+AL66+AL73+AL80+AL87+AL94+AL101+AL108+AL115+AL122+AL129+AL136+AL146+AL153+AL160+AL167+AL174+AL181+AL188)</f>
        <v>170830461.9956</v>
      </c>
      <c r="AM195" s="150">
        <f t="shared" si="259"/>
        <v>62.99164309828318</v>
      </c>
      <c r="AN195" s="242">
        <f>SUM(AN12+AN22+AN29+AN36+AN43+AN51+AN59+AN66+AN73+AN80+AN87+AN94+AN101+AN108+AN115+AN122+AN129+AN136+AN146+AN153+AN160+AN167+AN174+AN181+AN188)+17635.5</f>
        <v>204650436.10700005</v>
      </c>
      <c r="AO195" s="153">
        <f>AN195/I195*100</f>
        <v>81.70980634075373</v>
      </c>
      <c r="AP195" s="150">
        <f t="shared" si="260"/>
        <v>75.22536792870893</v>
      </c>
      <c r="AQ195" s="242">
        <f>SUM(AQ12+AQ22+AQ29+AQ36+AQ43+AQ51+AQ59+AQ66+AQ73+AQ80+AQ87+AQ94+AQ101+AQ108+AQ115+AQ122+AQ129+AQ136+AQ146+AQ153+AQ160+AQ167+AQ174+AQ181+AQ188)</f>
        <v>244306034.6415399</v>
      </c>
      <c r="AR195" s="154">
        <f>AQ195/I195*100</f>
        <v>97.5429085721596</v>
      </c>
      <c r="AS195" s="189">
        <f t="shared" si="261"/>
        <v>94.18262550351962</v>
      </c>
      <c r="AT195" s="165">
        <f>SUM(AT197:AT201)</f>
        <v>259058151.97569996</v>
      </c>
      <c r="AU195" s="129">
        <f>AT195*100/I195</f>
        <v>103.4329163015351</v>
      </c>
      <c r="AV195" s="299"/>
      <c r="AW195" s="191">
        <f>SUM(AW12+AW22+AW29+AW36+AW43+AW51+AW59+AW66+AW73+AW80+AW87+AW94+AW101+AW108+AW115+AW122+AW129+AW136+AW146+AW153+AW160+AW167+AW174+AW181+AW188)</f>
        <v>44128259.70542001</v>
      </c>
      <c r="AX195" s="191">
        <f>SUM(AX12+AX22+AX29+AX36+AX43+AX51+AX59+AX66+AX73+AX80+AX87+AX94+AX101+AX108+AX115+AX122+AX129+AX136+AX146+AX153+AX160+AX167+AX174+AX181+AX188)</f>
        <v>37080149.74246</v>
      </c>
      <c r="AY195" s="151">
        <f t="shared" si="262"/>
        <v>84.028126171279</v>
      </c>
      <c r="AZ195" s="132"/>
      <c r="BA195" s="103"/>
    </row>
    <row r="196" spans="1:53" s="102" customFormat="1" ht="25.5">
      <c r="A196" s="256"/>
      <c r="B196" s="256"/>
      <c r="C196" s="256"/>
      <c r="D196" s="256"/>
      <c r="E196" s="256"/>
      <c r="F196" s="136" t="s">
        <v>29</v>
      </c>
      <c r="G196" s="137"/>
      <c r="H196" s="137"/>
      <c r="I196" s="137"/>
      <c r="J196" s="137"/>
      <c r="K196" s="137"/>
      <c r="L196" s="137"/>
      <c r="M196" s="137"/>
      <c r="N196" s="137"/>
      <c r="O196" s="137"/>
      <c r="P196" s="137"/>
      <c r="Q196" s="137"/>
      <c r="R196" s="137"/>
      <c r="S196" s="139"/>
      <c r="T196" s="137"/>
      <c r="U196" s="137"/>
      <c r="V196" s="137"/>
      <c r="W196" s="137"/>
      <c r="X196" s="137"/>
      <c r="Y196" s="137"/>
      <c r="Z196" s="137"/>
      <c r="AA196" s="137"/>
      <c r="AB196" s="137"/>
      <c r="AC196" s="137"/>
      <c r="AD196" s="137"/>
      <c r="AE196" s="138"/>
      <c r="AF196" s="137"/>
      <c r="AG196" s="137"/>
      <c r="AH196" s="137"/>
      <c r="AI196" s="137"/>
      <c r="AJ196" s="137"/>
      <c r="AK196" s="137"/>
      <c r="AL196" s="137"/>
      <c r="AM196" s="137"/>
      <c r="AN196" s="139"/>
      <c r="AO196" s="138"/>
      <c r="AP196" s="137"/>
      <c r="AQ196" s="139"/>
      <c r="AR196" s="140"/>
      <c r="AS196" s="139"/>
      <c r="AT196" s="142"/>
      <c r="AU196" s="143"/>
      <c r="AV196" s="101"/>
      <c r="AW196" s="253"/>
      <c r="AX196" s="254"/>
      <c r="AY196" s="193"/>
      <c r="AZ196" s="101"/>
      <c r="BA196" s="103"/>
    </row>
    <row r="197" spans="1:53" s="102" customFormat="1" ht="38.25">
      <c r="A197" s="256"/>
      <c r="B197" s="256"/>
      <c r="C197" s="256"/>
      <c r="D197" s="256"/>
      <c r="E197" s="256"/>
      <c r="F197" s="144" t="s">
        <v>27</v>
      </c>
      <c r="G197" s="179">
        <f aca="true" t="shared" si="264" ref="G197:T197">G15+G24+G31+G38+G45+G53+G61+G68+G75+G82+G89+G96+G103+G110+G117+G124+G131+G138+G148+G155+G162+G169+G176+G183+G190</f>
        <v>5311519.799999999</v>
      </c>
      <c r="H197" s="179">
        <f t="shared" si="264"/>
        <v>5369489.799999999</v>
      </c>
      <c r="I197" s="179">
        <f t="shared" si="264"/>
        <v>6033808.099999998</v>
      </c>
      <c r="J197" s="179">
        <f t="shared" si="264"/>
        <v>5396754.099999999</v>
      </c>
      <c r="K197" s="179">
        <f t="shared" si="264"/>
        <v>5426053.799999999</v>
      </c>
      <c r="L197" s="179">
        <f t="shared" si="264"/>
        <v>5426053.799999999</v>
      </c>
      <c r="M197" s="179">
        <f t="shared" si="264"/>
        <v>5698205.8999999985</v>
      </c>
      <c r="N197" s="179">
        <f t="shared" si="264"/>
        <v>5692490.099999999</v>
      </c>
      <c r="O197" s="179">
        <f t="shared" si="264"/>
        <v>6288504.3610000005</v>
      </c>
      <c r="P197" s="179">
        <f t="shared" si="264"/>
        <v>6389334.462</v>
      </c>
      <c r="Q197" s="179">
        <f t="shared" si="264"/>
        <v>6152269.861999999</v>
      </c>
      <c r="R197" s="179">
        <f t="shared" si="264"/>
        <v>6146061.960999999</v>
      </c>
      <c r="S197" s="255">
        <f t="shared" si="264"/>
        <v>6236364.8999999985</v>
      </c>
      <c r="T197" s="179">
        <f t="shared" si="264"/>
        <v>222591.5</v>
      </c>
      <c r="U197" s="134">
        <f>SUM(T197/G197*100)</f>
        <v>4.190730871416502</v>
      </c>
      <c r="V197" s="179">
        <f>V15+V24+V31+V38+V45+V53+V61+V68+V75+V82+V89+V96+V103+V110+V117+V124+V131+V138+V148+V155+V162+V169+V176+V183+V190</f>
        <v>675109.8</v>
      </c>
      <c r="W197" s="134">
        <f>IF(H197=0,0,V197*100/H197)</f>
        <v>12.573071653846892</v>
      </c>
      <c r="X197" s="179">
        <f>X15+X24+X31+X38+X45+X53+X61+X68+X75+X82+X89+X96+X103+X110+X117+X124+X131+X138+X148+X155+X162+X169+X176+X183+X190</f>
        <v>1127260.4000000001</v>
      </c>
      <c r="Y197" s="134">
        <f>IF(J197=0,0,X197*100/J197)</f>
        <v>20.88774806322935</v>
      </c>
      <c r="Z197" s="179">
        <f>Z15+Z24+Z31+Z38+Z45+Z53+Z61+Z68+Z75+Z82+Z89+Z96+Z103+Z110+Z117+Z124+Z131+Z138+Z148+Z155+Z162+Z169+Z176+Z183+Z190</f>
        <v>1394164.23</v>
      </c>
      <c r="AA197" s="134">
        <f>IF(K197=0,0,Z197*100/K197)</f>
        <v>25.69388880736863</v>
      </c>
      <c r="AB197" s="179">
        <f>AB15+AB24+AB31+AB38+AB45+AB53+AB61+AB68+AB75+AB82+AB89+AB96+AB103+AB110+AB117+AB124+AB131+AB138+AB148+AB155+AB162+AB169+AB176+AB183+AB190</f>
        <v>1595547.4000000001</v>
      </c>
      <c r="AC197" s="134">
        <f>IF(L197=0,0,AB197*100/L197)</f>
        <v>29.405300035911925</v>
      </c>
      <c r="AD197" s="179">
        <f>AD15+AD24+AD31+AD38+AD45+AD53+AD61+AD68+AD75+AD82+AD89+AD96+AD103+AD110+AD117+AD124+AD131+AD138+AD148+AD155+AD162+AD169+AD176+AD183+AD190</f>
        <v>1988736.808</v>
      </c>
      <c r="AE197" s="134">
        <f>IF(O197=0,0,AD197*100/O197)</f>
        <v>31.62495712547697</v>
      </c>
      <c r="AF197" s="179">
        <f>AF15+AF24+AF31+AF38+AF45+AF53+AF61+AF68+AF75+AF82+AF89+AF96+AF103+AF110+AF117+AF124+AF131+AF138+AF148+AF155+AF162+AF169+AF176+AF183+AF190</f>
        <v>2288400.6</v>
      </c>
      <c r="AG197" s="134">
        <f>IF(N197=0,0,AF197*100/N197)</f>
        <v>40.20034395843746</v>
      </c>
      <c r="AH197" s="179">
        <f>AH15+AH24+AH31+AH38+AH45+AH53+AH61+AH68+AH75+AH82+AH89+AH96+AH103+AH110+AH117+AH124+AH131+AH138+AH148+AH155+AH162+AH169+AH176+AH183+AH190</f>
        <v>2857399.0400000005</v>
      </c>
      <c r="AI197" s="134">
        <f>IF(O197=0,0,AH197*100/O197)</f>
        <v>45.43845207011379</v>
      </c>
      <c r="AJ197" s="179">
        <f>AJ15+AJ24+AJ31+AJ38+AJ45+AJ53+AJ61+AJ68+AJ75+AJ82+AJ89+AJ96+AJ103+AJ110+AJ117+AJ124+AJ131+AJ138+AJ148+AJ155+AJ162+AJ169+AJ176+AJ183+AJ190</f>
        <v>3258876.551</v>
      </c>
      <c r="AK197" s="134">
        <f>IF(P197=0,0,AJ197*100/P197)</f>
        <v>51.00494535670153</v>
      </c>
      <c r="AL197" s="179">
        <f>AL15+AL24+AL31+AL38+AL45+AL53+AL61+AL68+AL75+AL82+AL89+AL96+AL103+AL110+AL117+AL124+AL131+AL138+AL148+AL155+AL162+AL169+AL176+AL183+AL190</f>
        <v>3889104.950000001</v>
      </c>
      <c r="AM197" s="134">
        <f>IF(Q197=0,0,AL197*100/Q197)</f>
        <v>63.21414757862587</v>
      </c>
      <c r="AN197" s="255">
        <f>AN15+AN24+AN31+AN38+AN45+AN53+AN61+AN68+AN75+AN82+AN89+AN96+AN103+AN110+AN117+AN124+AN131+AN138+AN148+AN155+AN162+AN169+AN176+AN183+AN190</f>
        <v>5124158.599999998</v>
      </c>
      <c r="AO197" s="153">
        <f>AN197/I197*100</f>
        <v>84.92412279402787</v>
      </c>
      <c r="AP197" s="134">
        <f>IF(R197=0,0,AN197*100/R197)</f>
        <v>83.37303841899876</v>
      </c>
      <c r="AQ197" s="255">
        <f>AQ15+AQ24+AQ31+AQ38+AQ45+AQ53+AQ61+AQ68+AQ75+AQ82+AQ89+AQ96+AQ103+AQ110+AQ117+AQ124+AQ131+AQ138+AQ148+AQ155+AQ162+AQ169+AQ176+AQ183+AQ190</f>
        <v>5748789.20036</v>
      </c>
      <c r="AR197" s="154">
        <f>AQ197/I197*100</f>
        <v>95.27630155092275</v>
      </c>
      <c r="AS197" s="243">
        <f>IF(S197=0,0,AQ197*100/S197)</f>
        <v>92.18173234795805</v>
      </c>
      <c r="AT197" s="130">
        <f>AT15+AT24+AT31+AT38+AT45+AT53+AT61+AT68+AT75+AT82+AT89+AT96+AT103+AT110+AT117+AT124+AT131+AT138+AT148+AT155+AT162+AT169+AT176+AT183+AT190</f>
        <v>5846061.9072</v>
      </c>
      <c r="AU197" s="129">
        <f>AT197*100/I197</f>
        <v>96.88842950109736</v>
      </c>
      <c r="AV197" s="101"/>
      <c r="AW197" s="179">
        <f>AW24+AW15+AW31+AW38+AW61+AW68+AW45+AW53++AW75+AW82+AW124+AW131+AW103+AW89+AW117+AW110+AW96+AW169+AW176+AW183+AW162+AW148+AW155+AW190+AW138</f>
        <v>1690023.0599999998</v>
      </c>
      <c r="AX197" s="179">
        <f>AX24+AX15+AX31+AX38+AX61+AX68+AX45+AX53++AX75+AX82+AX124+AX131+AX103+AX89+AX117+AX110+AX96+AX169+AX176+AX183+AX162+AX148+AX155+AX190+AX138</f>
        <v>1351054.56036</v>
      </c>
      <c r="AY197" s="134">
        <f>IF(AW197=0,0,AX197*100/AW197)</f>
        <v>79.94296600662953</v>
      </c>
      <c r="AZ197" s="101"/>
      <c r="BA197" s="103"/>
    </row>
    <row r="198" spans="1:53" s="102" customFormat="1" ht="51">
      <c r="A198" s="256"/>
      <c r="B198" s="256"/>
      <c r="C198" s="256"/>
      <c r="D198" s="256"/>
      <c r="E198" s="256"/>
      <c r="F198" s="145" t="s">
        <v>30</v>
      </c>
      <c r="G198" s="179">
        <f aca="true" t="shared" si="265" ref="G198:Q198">G16+G25+G32+G39+G46+G54+G62+G69+G76+G83+G90+G97+G104+G111+G118+G125+G132+G139+G149+G156+G163+G170+G177+G184+G191</f>
        <v>176778894.7</v>
      </c>
      <c r="H198" s="179">
        <f t="shared" si="265"/>
        <v>176778894.7</v>
      </c>
      <c r="I198" s="179">
        <f t="shared" si="265"/>
        <v>174813440.19999996</v>
      </c>
      <c r="J198" s="179">
        <f t="shared" si="265"/>
        <v>177121043.39999998</v>
      </c>
      <c r="K198" s="179">
        <f t="shared" si="265"/>
        <v>177272728.59999996</v>
      </c>
      <c r="L198" s="179">
        <f t="shared" si="265"/>
        <v>177160951.59999996</v>
      </c>
      <c r="M198" s="179">
        <f t="shared" si="265"/>
        <v>177176789.265</v>
      </c>
      <c r="N198" s="179">
        <f t="shared" si="265"/>
        <v>178286990.86499998</v>
      </c>
      <c r="O198" s="179">
        <f t="shared" si="265"/>
        <v>178318309.36499998</v>
      </c>
      <c r="P198" s="179">
        <f t="shared" si="265"/>
        <v>178496291.89999998</v>
      </c>
      <c r="Q198" s="179">
        <f t="shared" si="265"/>
        <v>181235174.7</v>
      </c>
      <c r="R198" s="179">
        <f>R16+R25+R32+R39+R46+R54+R62+R69+R76+R83+R90+R97+R104+R111+R118+R125+R132+R139+R149+R156+R163+R170+R177+R184+R191+R140</f>
        <v>183179379.99999997</v>
      </c>
      <c r="S198" s="255">
        <f>S16+S25+S32+S39+S46+S54+S62+S69+S76+S83+S90+S97+S104+S111+S118+S125+S132+S139+S149+S156+S163+S170+S177+S184+S191</f>
        <v>183601468.1</v>
      </c>
      <c r="T198" s="179">
        <f>T16+T25+T32+T39+T46+T54+T62+T69+T76+T83+T90+T97+T104+T111+T118+T125+T132+T139+T149+T156+T163+T170+T177+T184+T191</f>
        <v>16876445.4</v>
      </c>
      <c r="U198" s="134">
        <f>SUM(T198/G198*100)</f>
        <v>9.546640411254929</v>
      </c>
      <c r="V198" s="179">
        <f>V16+V25+V32+V39+V46+V54+V62+V69+V76+V83+V90+V97+V104+V111+V118+V125+V132+V139+V149+V156+V163+V170+V177+V184+V191</f>
        <v>28989338.92315</v>
      </c>
      <c r="W198" s="134">
        <f>IF(H198=0,0,V198*100/H198)</f>
        <v>16.39864248067957</v>
      </c>
      <c r="X198" s="179">
        <f>X16+X25+X32+X39+X46+X54+X62+X69+X76+X83+X90+X97+X104+X111+X118+X125+X132+X139+X149+X156+X163+X170+X177+X184+X191</f>
        <v>40975436.43</v>
      </c>
      <c r="Y198" s="134">
        <f>IF(J198=0,0,X198*100/J198)</f>
        <v>23.13414354581428</v>
      </c>
      <c r="Z198" s="179">
        <f>Z16+Z25+Z32+Z39+Z46+Z54+Z62+Z69+Z76+Z83+Z90+Z97+Z104+Z111+Z118+Z125+Z132+Z139+Z149+Z156+Z163+Z170+Z177+Z184+Z191</f>
        <v>55763670.55425002</v>
      </c>
      <c r="AA198" s="134">
        <f>IF(K198=0,0,Z198*100/K198)</f>
        <v>31.456429307903164</v>
      </c>
      <c r="AB198" s="179">
        <f>AB16+AB25+AB32+AB39+AB46+AB54+AB62+AB69+AB76+AB83+AB90+AB97+AB104+AB111+AB118+AB125+AB132+AB139+AB149+AB156+AB163+AB170+AB177+AB184+AB191</f>
        <v>69917693.39999999</v>
      </c>
      <c r="AC198" s="134">
        <f>IF(L198=0,0,AB198*100/L198)</f>
        <v>39.465634367251845</v>
      </c>
      <c r="AD198" s="179">
        <f>AD16+AD25+AD32+AD39+AD46+AD54+AD62+AD69+AD76+AD83+AD90+AD97+AD104+AD111+AD118+AD125+AD132+AD139+AD149+AD156+AD163+AD170+AD177+AD184+AD191</f>
        <v>83948776.29418904</v>
      </c>
      <c r="AE198" s="134">
        <f>IF(O198=0,0,AD198*100/O198)</f>
        <v>47.07804632801569</v>
      </c>
      <c r="AF198" s="179">
        <f>AF16+AF25+AF32+AF39+AF46+AF54+AF62+AF69+AF76+AF83+AF90+AF97+AF104+AF111+AF118+AF125+AF132+AF139+AF149+AF156+AF163+AF170+AF177+AF184+AF191</f>
        <v>96108139.50000004</v>
      </c>
      <c r="AG198" s="134">
        <f>IF(N198=0,0,AF198*100/N198)</f>
        <v>53.90642302823638</v>
      </c>
      <c r="AH198" s="179">
        <f>AH16+AH25+AH32+AH39+AH46+AH54+AH62+AH69+AH76+AH83+AH90+AH97+AH104+AH111+AH118+AH125+AH132+AH139+AH149+AH156+AH163+AH170+AH177+AH184+AH191</f>
        <v>101567296.39999996</v>
      </c>
      <c r="AI198" s="134">
        <f>IF(O198=0,0,AH198*100/O198)</f>
        <v>56.95842270021848</v>
      </c>
      <c r="AJ198" s="179">
        <f>AJ16+AJ25+AJ32+AJ39+AJ46+AJ54+AJ62+AJ69+AJ76+AJ83+AJ90+AJ97+AJ104+AJ111+AJ118+AJ125+AJ132+AJ139+AJ149+AJ156+AJ163+AJ170+AJ177+AJ184+AJ191</f>
        <v>113113856.48800002</v>
      </c>
      <c r="AK198" s="134">
        <f>IF(P198=0,0,AJ198*100/P198)</f>
        <v>63.37042371242673</v>
      </c>
      <c r="AL198" s="179">
        <f>AL16+AL25+AL32+AL39+AL46+AL54+AL62+AL69+AL76+AL83+AL90+AL97+AL104+AL111+AL118+AL125+AL132+AL139+AL149+AL156+AL163+AL170+AL177+AL184+AL191</f>
        <v>129193764.55000004</v>
      </c>
      <c r="AM198" s="134">
        <f>IF(Q198=0,0,AL198*100/Q198)</f>
        <v>71.28514912397965</v>
      </c>
      <c r="AN198" s="255">
        <f>AN16+AN25+AN32+AN39+AN46+AN54+AN62+AN69+AN76+AN83+AN90+AN97+AN104+AN111+AN118+AN125+AN132+AN139+AN149+AN156+AN163+AN170+AN177+AN184+AN191+AN140</f>
        <v>150313659.9</v>
      </c>
      <c r="AO198" s="153">
        <f>AN198/I198*100</f>
        <v>85.98518496520042</v>
      </c>
      <c r="AP198" s="134">
        <f>IF(R198=0,0,AN198*100/R198)</f>
        <v>82.0581770175224</v>
      </c>
      <c r="AQ198" s="255">
        <f>AQ16+AQ25+AQ32+AQ39+AQ46+AQ54+AQ62+AQ69+AQ76+AQ83+AQ90+AQ97+AQ104+AQ111+AQ118+AQ125+AQ132+AQ139+AQ149+AQ156+AQ163+AQ170+AQ177+AQ184+AQ191</f>
        <v>172126781.02267998</v>
      </c>
      <c r="AR198" s="154">
        <f>AQ198/I198*100</f>
        <v>98.4631277925506</v>
      </c>
      <c r="AS198" s="243">
        <f>IF(S198=0,0,AQ198*100/S198)</f>
        <v>93.75022041159811</v>
      </c>
      <c r="AT198" s="180">
        <f>AT16+AT25+AT32+AT39+AT46+AT54+AT62+AT69+AT76+AT83+AT90+AT97+AT104+AT111+AT118+AT125+AT132+AT139+AT149+AT156+AT163+AT170+AT177+AT184+AT191</f>
        <v>172143706.89999998</v>
      </c>
      <c r="AU198" s="129">
        <f>AT198*100/I198</f>
        <v>98.47281004427028</v>
      </c>
      <c r="AV198" s="101"/>
      <c r="AW198" s="179">
        <f>AW16+AW25+AW32+AW39+AW46+AW54+AW62+AW69+AW76+AW83+AW90+AW97+AW104+AW111+AW118+AW125+AW132+AW139+AW149+AW156+AW163+AW170+AW177+AW184+AW191+AW140</f>
        <v>24662222.04541999</v>
      </c>
      <c r="AX198" s="179">
        <f>AX16+AX25+AX32+AX39+AX46+AX54+AX62+AX69+AX76+AX83+AX90+AX97+AX104+AX111+AX118+AX125+AX132+AX139+AX149+AX156+AX163+AX170+AX177+AX184+AX191+AX140</f>
        <v>17918270.1721</v>
      </c>
      <c r="AY198" s="134">
        <f>IF(AW198=0,0,AX198*100/AW198)</f>
        <v>72.65472729545712</v>
      </c>
      <c r="AZ198" s="101"/>
      <c r="BA198" s="103"/>
    </row>
    <row r="199" spans="1:53" s="102" customFormat="1" ht="63.75">
      <c r="A199" s="256"/>
      <c r="B199" s="256"/>
      <c r="C199" s="256"/>
      <c r="D199" s="256"/>
      <c r="E199" s="256"/>
      <c r="F199" s="145" t="s">
        <v>38</v>
      </c>
      <c r="G199" s="179">
        <f>G18+G26+G33+G40+G47+G55+G63+G70+G77+G84+G91+G98+G105+G112+G119+G126+G133+G141+G150+G157+G164+G171+G178+G185+G192</f>
        <v>2232311.0999999996</v>
      </c>
      <c r="H199" s="179">
        <f>H18+H26+H33+H40+H47+H55+H63+H70+H77+H84+H91+H98+H105+H112+H119+H126+H133+H141+H150+H157+H164+H171+H178+H185+H192</f>
        <v>2283149.5999999996</v>
      </c>
      <c r="I199" s="179">
        <f>I18+I26+I33+I40+I47+I55+I63+I70+I77+I84+I91+I98+I105+I112+I119+I126+I133+I141+I150+I157+I164+I171+I178+I185+I192-I56</f>
        <v>2909033.1900000004</v>
      </c>
      <c r="J199" s="179">
        <f aca="true" t="shared" si="266" ref="J199:Q199">J18+J26+J33+J40+J47+J55+J63+J70+J77+J84+J91+J98+J105+J112+J119+J126+J133+J141+J150+J157+J164+J171+J178+J185+J192</f>
        <v>2896683.29</v>
      </c>
      <c r="K199" s="179">
        <f t="shared" si="266"/>
        <v>2896683.29</v>
      </c>
      <c r="L199" s="179">
        <f t="shared" si="266"/>
        <v>2893108.29</v>
      </c>
      <c r="M199" s="179">
        <f t="shared" si="266"/>
        <v>2889697.29</v>
      </c>
      <c r="N199" s="179">
        <f t="shared" si="266"/>
        <v>3034764.89</v>
      </c>
      <c r="O199" s="179">
        <f t="shared" si="266"/>
        <v>3034764.89</v>
      </c>
      <c r="P199" s="179">
        <f t="shared" si="266"/>
        <v>3055384.99</v>
      </c>
      <c r="Q199" s="179">
        <f t="shared" si="266"/>
        <v>3469030.6900000004</v>
      </c>
      <c r="R199" s="179">
        <f>R18+R26+R33+R40+R47+R55+R63+R70+R77+R84+R91+R98+R105+R112+R119+R126+R133+R141+R150+R157+R164+R171+R178+R185+R192-R56</f>
        <v>3271731.49</v>
      </c>
      <c r="S199" s="255">
        <f>S18+S26+S33+S40+S47+S55+S63+S70+S77+S84+S91+S98+S105+S112+S119+S126+S133+S141+S150+S157+S164+S171+S178+S185+S192</f>
        <v>3358017.29</v>
      </c>
      <c r="T199" s="179">
        <f>T18+T26+T33+T40+T47+T55+T63+T70+T77+T84+T91+T98+T105+T112+T119+T126+T133+T141+T150+T157+T164+T171+T178+T185+T192</f>
        <v>372.5</v>
      </c>
      <c r="U199" s="134">
        <f>SUM(T199/G199*100)</f>
        <v>0.01668674227351197</v>
      </c>
      <c r="V199" s="179">
        <f>V18+V26+V33+V40+V47+V55+V63+V70+V77+V84+V91+V98+V105+V112+V119+V126+V133+V141+V150+V157+V164+V171+V178+V185+V192</f>
        <v>22030.199999999997</v>
      </c>
      <c r="W199" s="134">
        <f>IF(H199=0,0,V199*100/H199)</f>
        <v>0.964903920443934</v>
      </c>
      <c r="X199" s="179">
        <f>X18+X26+X33+X40+X47+X55+X63+X70+X77+X84+X91+X98+X105+X112+X119+X126+X133+X141+X150+X157+X164+X171+X178+X185+X192</f>
        <v>104418.3</v>
      </c>
      <c r="Y199" s="134">
        <f>IF(J199=0,0,X199*100/J199)</f>
        <v>3.60475376650514</v>
      </c>
      <c r="Z199" s="179">
        <f>Z18+Z26+Z33+Z40+Z47+Z55+Z63+Z70+Z77+Z84+Z91+Z98+Z105+Z112+Z119+Z126+Z133+Z141+Z150+Z157+Z164+Z171+Z178+Z185+Z192</f>
        <v>207775.05</v>
      </c>
      <c r="AA199" s="134">
        <f>IF(K199=0,0,Z199*100/K199)</f>
        <v>7.172860447577616</v>
      </c>
      <c r="AB199" s="179">
        <f>AB18+AB26+AB33+AB40+AB47+AB55+AB63+AB70+AB77+AB84+AB91+AB98+AB105+AB112+AB119+AB126+AB133+AB141+AB150+AB157+AB164+AB171+AB178+AB185+AB192</f>
        <v>336707.79999999993</v>
      </c>
      <c r="AC199" s="134">
        <f>IF(L199=0,0,AB199*100/L199)</f>
        <v>11.638271583674454</v>
      </c>
      <c r="AD199" s="179">
        <f>AD18+AD26+AD33+AD40+AD47+AD55+AD63+AD70+AD77+AD84+AD91+AD98+AD105+AD112+AD119+AD126+AD133+AD141+AD150+AD157+AD164+AD171+AD178+AD185+AD192</f>
        <v>450814.9600000001</v>
      </c>
      <c r="AE199" s="134">
        <f>IF(O199=0,0,AD199*100/O199)</f>
        <v>14.855020943648787</v>
      </c>
      <c r="AF199" s="179">
        <f>AF18+AF26+AF33+AF40+AF47+AF55+AF63+AF70+AF77+AF84+AF91+AF98+AF105+AF112+AF119+AF126+AF133+AF141+AF150+AF157+AF164+AF171+AF178+AF185+AF192</f>
        <v>607384.2220000001</v>
      </c>
      <c r="AG199" s="134">
        <f>IF(N199=0,0,AF199*100/N199)</f>
        <v>20.01421012881166</v>
      </c>
      <c r="AH199" s="179">
        <f>AH18+AH26+AH33+AH40+AH47+AH55+AH63+AH70+AH77+AH84+AH91+AH98+AH105+AH112+AH119+AH126+AH133+AH141+AH150+AH157+AH164+AH171+AH178+AH185+AH192</f>
        <v>812139.806598889</v>
      </c>
      <c r="AI199" s="134">
        <f>IF(O199=0,0,AH199*100/O199)</f>
        <v>26.761210045463816</v>
      </c>
      <c r="AJ199" s="179">
        <f>AJ18+AJ26+AJ33+AJ40+AJ47+AJ55+AJ63+AJ70+AJ77+AJ84+AJ91+AJ98+AJ105+AJ112+AJ119+AJ126+AJ133+AJ141+AJ150+AJ157+AJ164+AJ171+AJ178+AJ185+AJ192</f>
        <v>945226.6265433334</v>
      </c>
      <c r="AK199" s="134">
        <f>IF(P199=0,0,AJ199*100/P199)</f>
        <v>30.936416511731746</v>
      </c>
      <c r="AL199" s="179">
        <f>AL18+AL26+AL33+AL40+AL47+AL55+AL63+AL70+AL77+AL84+AL91+AL98+AL105+AL112+AL119+AL126+AL133+AL141+AL150+AL157+AL164+AL171+AL178+AL185+AL192</f>
        <v>1193232.7506</v>
      </c>
      <c r="AM199" s="134">
        <f>IF(Q199=0,0,AL199*100/Q199)</f>
        <v>34.396719349865414</v>
      </c>
      <c r="AN199" s="255">
        <f>AN18+AN26+AN33+AN40+AN47+AN55+AN63+AN70+AN77+AN84+AN91+AN98+AN105+AN112+AN119+AN126+AN133+AN141+AN150+AN157+AN164+AN171+AN178+AN185+AN192-AN56</f>
        <v>1610655.7570000002</v>
      </c>
      <c r="AO199" s="153">
        <f>AN199/I199*100</f>
        <v>55.36739018780325</v>
      </c>
      <c r="AP199" s="134">
        <f>IF(R199=0,0,AN199*100/R199)</f>
        <v>49.229460361369696</v>
      </c>
      <c r="AQ199" s="200">
        <f>AQ18+AQ26+AQ33+AQ40+AQ47+AQ55+AQ63+AQ70+AQ77+AQ84+AQ91+AQ98+AQ105+AQ112+AQ119+AQ126+AQ133+AQ141+AQ150+AQ157+AQ164+AQ171+AQ178+AQ185+AQ192-AQ56-AQ20</f>
        <v>2517042.6684999997</v>
      </c>
      <c r="AR199" s="154">
        <f>AQ199/I199*100</f>
        <v>86.52505846796473</v>
      </c>
      <c r="AS199" s="243">
        <f>IF(S199=0,0,AQ199*100/S199)</f>
        <v>74.95621526415665</v>
      </c>
      <c r="AT199" s="180">
        <f>AT18+AT26+AT33+AT40+AT47+AT55+AT63+AT70+AT77+AT84+AT91+AT98+AT105+AT112+AT119+AT126+AT133+AT141+AT150+AT157+AT164+AT171+AT178+AT185+AT192-AT56</f>
        <v>3025178.1685</v>
      </c>
      <c r="AU199" s="129">
        <f>AT199*100/I199</f>
        <v>103.9925628521275</v>
      </c>
      <c r="AV199" s="101"/>
      <c r="AW199" s="179">
        <f>AW26+AW18+AW33+AW40+AW63+AW70+AW47+AW55+AW77+AW84+AW126+AW133+AW105+AW91+AW119+AW112+AW98+AW171+AW178+AW185+AW164+AW150+AW157+AW192+AW141</f>
        <v>709094.1499999998</v>
      </c>
      <c r="AX199" s="179">
        <f>AX26+AX18+AX33+AX40+AX63+AX70+AX47+AX55+AX77+AX84+AX126+AX133+AX105+AX91+AX119+AX112+AX98+AX171+AX178+AX185+AX164+AX150+AX157+AX192+AX141</f>
        <v>495243.94999999995</v>
      </c>
      <c r="AY199" s="134">
        <f>IF(AW199=0,0,AX199*100/AW199)</f>
        <v>69.84177630008654</v>
      </c>
      <c r="AZ199" s="101"/>
      <c r="BA199" s="103"/>
    </row>
    <row r="200" spans="1:53" s="102" customFormat="1" ht="51">
      <c r="A200" s="256"/>
      <c r="B200" s="256"/>
      <c r="C200" s="256"/>
      <c r="D200" s="256"/>
      <c r="E200" s="256"/>
      <c r="F200" s="145" t="s">
        <v>23</v>
      </c>
      <c r="G200" s="179">
        <f>G19+G27+G34+G41+G49+G57+G64+G71+G78+G85+G92+G99+G106+G113+G120+G127+G134+G142+G151+G158+G165+G172+G179+G186+G193</f>
        <v>10511250.41</v>
      </c>
      <c r="H200" s="179">
        <f>H19+H27+H34+H41+H49+H57+H64+H71+H78+H85+H92+H99+H106+H113+H120+H127+H134+H142+H151+H158+H165+H172+H179+H186+H193</f>
        <v>15700283.2</v>
      </c>
      <c r="I200" s="179">
        <f>I19+I27+I34+I41+I49+I57+I64+I71+I78+I85+I92+I99+I106+I113+I120+I127+I134+I142+I151+I158+I165+I172+I179+I186+I193+58015.8</f>
        <v>11785874.9</v>
      </c>
      <c r="J200" s="179">
        <f aca="true" t="shared" si="267" ref="J200:T200">J19+J27+J34+J41+J49+J57+J64+J71+J78+J85+J92+J99+J106+J113+J120+J127+J134+J142+J151+J158+J165+J172+J179+J186+J193</f>
        <v>17010783.2</v>
      </c>
      <c r="K200" s="179">
        <f t="shared" si="267"/>
        <v>14004388</v>
      </c>
      <c r="L200" s="179">
        <f t="shared" si="267"/>
        <v>14004388</v>
      </c>
      <c r="M200" s="179">
        <f t="shared" si="267"/>
        <v>12921289.149999999</v>
      </c>
      <c r="N200" s="179">
        <f t="shared" si="267"/>
        <v>11720968.35</v>
      </c>
      <c r="O200" s="179">
        <f t="shared" si="267"/>
        <v>11613547.7</v>
      </c>
      <c r="P200" s="179">
        <f t="shared" si="267"/>
        <v>11853123.7</v>
      </c>
      <c r="Q200" s="179">
        <f t="shared" si="267"/>
        <v>12531537.19</v>
      </c>
      <c r="R200" s="179">
        <f t="shared" si="267"/>
        <v>11655225.389999999</v>
      </c>
      <c r="S200" s="255">
        <f t="shared" si="267"/>
        <v>11729515.4</v>
      </c>
      <c r="T200" s="179">
        <f t="shared" si="267"/>
        <v>0</v>
      </c>
      <c r="U200" s="134">
        <f>SUM(T200/G200*100)</f>
        <v>0</v>
      </c>
      <c r="V200" s="179">
        <f>V19+V27+V34+V41+V49+V57+V64+V71+V78+V85+V92+V99+V106+V113+V120+V127+V134+V142+V151+V158+V165+V172+V179+V186+V193</f>
        <v>398427.2</v>
      </c>
      <c r="W200" s="134">
        <f>IF(H200=0,0,V200*100/H200)</f>
        <v>2.5377070905319723</v>
      </c>
      <c r="X200" s="179">
        <f>X19+X27+X34+X41+X49+X57+X64+X71+X78+X85+X92+X99+X106+X113+X120+X127+X134+X142+X151+X158+X165+X172+X179+X186+X193</f>
        <v>771375.737</v>
      </c>
      <c r="Y200" s="134">
        <f>IF(J200=0,0,X200*100/J200)</f>
        <v>4.534627994083189</v>
      </c>
      <c r="Z200" s="179">
        <f>Z19+Z27+Z34+Z41+Z49+Z57+Z64+Z71+Z78+Z85+Z92+Z99+Z106+Z113+Z120+Z127+Z134+Z142+Z151+Z158+Z165+Z172+Z179+Z186+Z193</f>
        <v>1031105.4050000001</v>
      </c>
      <c r="AA200" s="134">
        <f>IF(K200=0,0,Z200*100/K200)</f>
        <v>7.362730916909758</v>
      </c>
      <c r="AB200" s="179">
        <f>AB19+AB27+AB34+AB41+AB49+AB57+AB64+AB71+AB78+AB85+AB92+AB99+AB106+AB113+AB120+AB127+AB134+AB142+AB151+AB158+AB165+AB172+AB179+AB186+AB193</f>
        <v>1379607.345</v>
      </c>
      <c r="AC200" s="134">
        <f>IF(L200=0,0,AB200*100/L200)</f>
        <v>9.851250515195666</v>
      </c>
      <c r="AD200" s="179">
        <f>AD19+AD27+AD34+AD41+AD49+AD57+AD64+AD71+AD78+AD85+AD92+AD99+AD106+AD113+AD120+AD127+AD134+AD142+AD151+AD158+AD165+AD172+AD179+AD186+AD193</f>
        <v>1611595.9</v>
      </c>
      <c r="AE200" s="134">
        <f>IF(O200=0,0,AD200*100/O200)</f>
        <v>13.876861245422878</v>
      </c>
      <c r="AF200" s="179">
        <f>AF19+AF27+AF34+AF41+AF49+AF57+AF64+AF71+AF78+AF85+AF92+AF99+AF106+AF113+AF120+AF127+AF134+AF142+AF151+AF158+AF165+AF172+AF179+AF186+AF193</f>
        <v>2526538.08</v>
      </c>
      <c r="AG200" s="134">
        <f>IF(N200=0,0,AF200*100/N200)</f>
        <v>21.555711137126313</v>
      </c>
      <c r="AH200" s="179">
        <f>AH19+AH27+AH34+AH41+AH49+AH57+AH64+AH71+AH78+AH85+AH92+AH99+AH106+AH113+AH120+AH127+AH134+AH142+AH151+AH158+AH165+AH172+AH179+AH186+AH193</f>
        <v>3186525.035</v>
      </c>
      <c r="AI200" s="134">
        <f>IF(O200=0,0,AH200*100/O200)</f>
        <v>27.437998424891305</v>
      </c>
      <c r="AJ200" s="179">
        <f>AJ19+AJ27+AJ34+AJ41+AJ49+AJ57+AJ64+AJ71+AJ78+AJ85+AJ92+AJ99+AJ106+AJ113+AJ120+AJ127+AJ134+AJ142+AJ151+AJ158+AJ165+AJ172+AJ179+AJ186+AJ193</f>
        <v>4379761.545</v>
      </c>
      <c r="AK200" s="134">
        <f>IF(P200=0,0,AJ200*100/P200)</f>
        <v>36.95027282133233</v>
      </c>
      <c r="AL200" s="179">
        <f>AL19+AL27+AL34+AL41+AL49+AL57+AL64+AL71+AL78+AL85+AL92+AL99+AL106+AL113+AL120+AL127+AL134+AL142+AL151+AL158+AL165+AL172+AL179+AL186+AL193</f>
        <v>6102087.545</v>
      </c>
      <c r="AM200" s="134">
        <f>IF(Q200=0,0,AL200*100/Q200)</f>
        <v>48.69384699164748</v>
      </c>
      <c r="AN200" s="255">
        <f>AN19+AN27+AN34+AN41+AN49+AN57+AN64+AN71+AN78+AN85+AN92+AN99+AN106+AN113+AN120+AN127+AN134+AN142+AN151+AN158+AN165+AN172+AN179+AN186+AN193+17635.5</f>
        <v>7394055.6</v>
      </c>
      <c r="AO200" s="153">
        <f>AN200/I200*100</f>
        <v>62.73658648794923</v>
      </c>
      <c r="AP200" s="134">
        <f>IF(R200=0,0,AN200*100/R200)</f>
        <v>63.43983365902116</v>
      </c>
      <c r="AQ200" s="255">
        <f>AQ19+AQ27+AQ34+AQ41+AQ49+AQ57+AQ64+AQ71+AQ78+AQ85+AQ92+AQ99+AQ106+AQ113+AQ120+AQ127+AQ134+AQ142+AQ151+AQ158+AQ165+AQ172+AQ179+AQ186+AQ193</f>
        <v>11194861.4</v>
      </c>
      <c r="AR200" s="154">
        <f>AQ200/I200*100</f>
        <v>94.98540833824734</v>
      </c>
      <c r="AS200" s="243">
        <f>IF(S200=0,0,AQ200*100/S200)</f>
        <v>95.44180657284443</v>
      </c>
      <c r="AT200" s="180">
        <f>AT19+AT27+AT34+AT41+AT49+AT57+AT64+AT71+AT78+AT85+AT92+AT99+AT106+AT113+AT120+AT127+AT134+AT142+AT151+AT158+AT165+AT172+AT179+AT186+AT193</f>
        <v>10864555.7</v>
      </c>
      <c r="AU200" s="129">
        <f>AT200*100/I200</f>
        <v>92.18285271295387</v>
      </c>
      <c r="AV200" s="101"/>
      <c r="AW200" s="179">
        <f>AW19+AW27+AW34+AW41+AW49+AW57+AW64+AW71+AW78+AW85+AW92+AW99+AW106+AW113+AW120+AW127+AW134+AW142+AW151+AW158+AW165+AW172+AW179+AW186+AW193</f>
        <v>2235371.8</v>
      </c>
      <c r="AX200" s="179">
        <f>AX19+AX27+AX34+AX41+AX49+AX57+AX64+AX71+AX78+AX85+AX92+AX99+AX106+AX113+AX120+AX127+AX134+AX142+AX151+AX158+AX165+AX172+AX179+AX186+AX193</f>
        <v>1970206.7099999997</v>
      </c>
      <c r="AY200" s="134">
        <f>IF(AW200=0,0,AX200*100/AW200)</f>
        <v>88.13776348077755</v>
      </c>
      <c r="AZ200" s="101"/>
      <c r="BA200" s="103"/>
    </row>
    <row r="201" spans="1:53" s="102" customFormat="1" ht="38.25">
      <c r="A201" s="256"/>
      <c r="B201" s="256"/>
      <c r="C201" s="256"/>
      <c r="D201" s="256"/>
      <c r="E201" s="256"/>
      <c r="F201" s="145" t="s">
        <v>44</v>
      </c>
      <c r="G201" s="179">
        <f>G21+G28+G35+G42+G50+G58+G65+G72+G79+G86+G93+G100+G107+G114+G121+G128+G135+G143+G152+G159+G166+G173+G180+G187+G194+G17+G20+11413522.5</f>
        <v>78135548.1</v>
      </c>
      <c r="H201" s="179">
        <f>H21+H28+H35+H42+H50+H58+H65+H72+H79+H86+H93+H100+H107+H114+H121+H128+H135+H143+H152+H159+H166+H173+H180+H187+H194+H17+H20</f>
        <v>76141293.1</v>
      </c>
      <c r="I201" s="179">
        <f>I21+I28+I35+I42+I50+I56+I65+I72+I79+I86+I93+I100+I107+I114+I121+I128+I135+I143+I152+I159+I166+I173+I180+I187+I194+I17+I20</f>
        <v>54616607.599999994</v>
      </c>
      <c r="J201" s="179">
        <f aca="true" t="shared" si="268" ref="J201:Q201">J21+J28+J35+J42+J50+J58+J65+J72+J79+J86+J93+J100+J107+J114+J121+J128+J135+J143+J152+J159+J166+J173+J180+J187+J194+J17+J20</f>
        <v>70066447.4</v>
      </c>
      <c r="K201" s="179">
        <f t="shared" si="268"/>
        <v>70066507.4</v>
      </c>
      <c r="L201" s="179">
        <f t="shared" si="268"/>
        <v>69811090.4</v>
      </c>
      <c r="M201" s="179">
        <f t="shared" si="268"/>
        <v>69811090.4</v>
      </c>
      <c r="N201" s="179">
        <f t="shared" si="268"/>
        <v>65807090.4</v>
      </c>
      <c r="O201" s="179">
        <f t="shared" si="268"/>
        <v>65807090.4</v>
      </c>
      <c r="P201" s="179">
        <f t="shared" si="268"/>
        <v>65878639.4</v>
      </c>
      <c r="Q201" s="179">
        <f t="shared" si="268"/>
        <v>67461794.8</v>
      </c>
      <c r="R201" s="179">
        <f>R21+R28+R35+R42+R50+R56+R65+R72+R79+R86+R93+R100+R107+R114+R121+R128+R135+R143+R152+R159+R166+R173+R180+R187+R194+R17+R20</f>
        <v>67932848.8</v>
      </c>
      <c r="S201" s="255">
        <f>S21+S28+S35+S42+S50+S58+S65+S72+S79+S86+S93+S100+S107+S114+S121+S128+S135+S143+S152+S159+S166+S173+S180+S187+S194+S17+S20</f>
        <v>54470266.6</v>
      </c>
      <c r="T201" s="179">
        <f>T21+T28+T35+T42+T50+T58+T65+T72+T79+T86+T93+T100+T107+T114+T121+T128+T135+T143+T152+T159+T166+T173+T180+T187+T194+T17+T20</f>
        <v>2791675.2</v>
      </c>
      <c r="U201" s="134">
        <f>SUM(T201/G201*100)</f>
        <v>3.5728618636259366</v>
      </c>
      <c r="V201" s="179">
        <f>V21+V28+V35+V42+V50+V58+V65+V72+V79+V86+V93+V100+V107+V114+V121+V128+V135+V143+V152+V159+V166+V173+V180+V187+V194+V17+V20</f>
        <v>5587566.300000001</v>
      </c>
      <c r="W201" s="134">
        <f>IF(H201=0,0,V201*100/H201)</f>
        <v>7.338417923453945</v>
      </c>
      <c r="X201" s="179">
        <f>X21+X28+X35+X42+X50+X58+X65+X72+X79+X86+X93+X100+X107+X114+X121+X128+X135+X143+X152+X159+X166+X173+X180+X187+X194+X17+X20</f>
        <v>5396388</v>
      </c>
      <c r="Y201" s="134">
        <f>IF(J201=0,0,X201*100/J201)</f>
        <v>7.701814777610659</v>
      </c>
      <c r="Z201" s="179">
        <f>Z21+Z28+Z35+Z42+Z50+Z58+Z65+Z72+Z79+Z86+Z93+Z100+Z107+Z114+Z121+Z128+Z135+Z143+Z152+Z159+Z166+Z173+Z180+Z187+Z194+Z17+Z20</f>
        <v>8767890</v>
      </c>
      <c r="AA201" s="134">
        <f>IF(K201=0,0,Z201*100/K201)</f>
        <v>12.513667835539922</v>
      </c>
      <c r="AB201" s="179">
        <f>AB21+AB28+AB35+AB42+AB50+AB58+AB65+AB72+AB79+AB86+AB93+AB100+AB107+AB114+AB121+AB128+AB135+AB143+AB152+AB159+AB166+AB173+AB180+AB187+AB194+AB17+AB20</f>
        <v>10645184.6</v>
      </c>
      <c r="AC201" s="134">
        <f>IF(L201=0,0,AB201*100/L201)</f>
        <v>15.248557985566142</v>
      </c>
      <c r="AD201" s="179">
        <f>AD21+AD28+AD35+AD42+AD50+AD58+AD65+AD72+AD79+AD86+AD93+AD100+AD107+AD114+AD121+AD128+AD135+AD143+AD152+AD159+AD166+AD173+AD180+AD187+AD194+AD17+AD20</f>
        <v>15247116.8</v>
      </c>
      <c r="AE201" s="134">
        <f>IF(O201=0,0,AD201*100/O201)</f>
        <v>23.169413367651337</v>
      </c>
      <c r="AF201" s="179">
        <f>AF21+AF28+AF35+AF42+AF50+AF58+AF65+AF72+AF79+AF86+AF93+AF100+AF107+AF114+AF121+AF128+AF135+AF143+AF152+AF159+AF166+AF173+AF180+AF187+AF194+AF17+AF20</f>
        <v>20655997.898</v>
      </c>
      <c r="AG201" s="134">
        <f>IF(N201=0,0,AF201*100/N201)</f>
        <v>31.388711721556373</v>
      </c>
      <c r="AH201" s="179">
        <f>AH21+AH28+AH35+AH42+AH50+AH58+AH65+AH72+AH79+AH86+AH93+AH100+AH107+AH114+AH121+AH128+AH135+AH143+AH152+AH159+AH166+AH173+AH180+AH187+AH194+AH17+AH20</f>
        <v>23171156.148000002</v>
      </c>
      <c r="AI201" s="134">
        <f>IF(O201=0,0,AH201*100/O201)</f>
        <v>35.21072882444291</v>
      </c>
      <c r="AJ201" s="179">
        <f>AJ21+AJ28+AJ35+AJ42+AJ50+AJ58+AJ65+AJ72+AJ79+AJ86+AJ93+AJ100+AJ107+AJ114+AJ121+AJ128+AJ135+AJ143+AJ152+AJ159+AJ166+AJ173+AJ180+AJ187+AJ194+AJ17+AJ20</f>
        <v>26433808.369999997</v>
      </c>
      <c r="AK201" s="134">
        <f>IF(P201=0,0,AJ201*100/P201)</f>
        <v>40.1250065434715</v>
      </c>
      <c r="AL201" s="179">
        <f>AL21+AL28+AL35+AL42+AL50+AL58+AL65+AL72+AL79+AL86+AL93+AL100+AL107+AL114+AL121+AL128+AL135+AL143+AL152+AL159+AL166+AL173+AL180+AL187+AL194+AL17+AL20</f>
        <v>30452272.2</v>
      </c>
      <c r="AM201" s="134">
        <f>IF(Q201=0,0,AL201*100/Q201)</f>
        <v>45.14002672220633</v>
      </c>
      <c r="AN201" s="255">
        <f>AN21+AN28+AN35+AN42+AN50+AN56+AN65+AN72+AN79+AN86+AN93+AN100+AN107+AN114+AN121+AN128+AN135+AN143+AN152+AN159+AN166+AN173+AN180+AN187+AN194+AN17+AN20</f>
        <v>40207906.25</v>
      </c>
      <c r="AO201" s="153">
        <f>AN201/I201*100</f>
        <v>73.61846152085067</v>
      </c>
      <c r="AP201" s="134">
        <f>IF(R201=0,0,AN201*100/R201)</f>
        <v>59.18772281783066</v>
      </c>
      <c r="AQ201" s="255">
        <f>AQ21+AQ28+AQ35+AQ42+AQ50+AQ58+AQ65+AQ72+AQ79+AQ86+AQ93+AQ100+AQ107+AQ114+AQ121+AQ128+AQ135+AQ143+AQ152+AQ159+AQ166+AQ173+AQ180+AQ187+AQ194+AQ56+AQ20</f>
        <v>52477446.849999994</v>
      </c>
      <c r="AR201" s="154">
        <f>AQ201/I201*100</f>
        <v>96.08331450084424</v>
      </c>
      <c r="AS201" s="243">
        <f>IF(S201=0,0,AQ201*100/S201)</f>
        <v>96.34145401814499</v>
      </c>
      <c r="AT201" s="179">
        <f>AT21+AT28+AT35+AT42+AT50+AT56+AT65+AT72+AT79+AT86+AT93+AT100+AT107+AT114+AT121+AT128+AT135+AT143+AT152+AT159+AT166+AT173+AT180+AT187+AT194+AT17+AT20</f>
        <v>67178649.3</v>
      </c>
      <c r="AU201" s="129">
        <f>AT201*100/I201</f>
        <v>123.00040638188595</v>
      </c>
      <c r="AV201" s="101"/>
      <c r="AW201" s="179">
        <f>AW21+AW28+AW35+AW42+AW50+AW58+AW65+AW72+AW79+AW86+AW93+AW100+AW107+AW114+AW121+AW128+AW135+AW143+AW152+AW159+AW166+AW173+AW180+AW187+AW194+AW17+AW20</f>
        <v>14831548.649999999</v>
      </c>
      <c r="AX201" s="179">
        <f>AX21+AX28+AX35+AX42+AX50+AX58+AX65+AX72+AX79+AX86+AX93+AX100+AX107+AX114+AX121+AX128+AX135+AX143+AX152+AX159+AX166+AX173+AX180+AX187+AX194+AX17+AX20</f>
        <v>15345374.35</v>
      </c>
      <c r="AY201" s="134">
        <f>IF(AW201=0,0,AX201*100/AW201)</f>
        <v>103.46441030620225</v>
      </c>
      <c r="AZ201" s="101"/>
      <c r="BA201" s="103"/>
    </row>
    <row r="202" spans="1:53" s="102" customFormat="1" ht="15">
      <c r="A202" s="256"/>
      <c r="B202" s="256"/>
      <c r="C202" s="256"/>
      <c r="D202" s="256"/>
      <c r="E202" s="256"/>
      <c r="F202" s="256"/>
      <c r="G202" s="257"/>
      <c r="I202" s="256"/>
      <c r="J202" s="256"/>
      <c r="K202" s="256"/>
      <c r="L202" s="256"/>
      <c r="M202" s="256"/>
      <c r="N202" s="256"/>
      <c r="O202" s="256"/>
      <c r="P202" s="256"/>
      <c r="Q202" s="256"/>
      <c r="R202" s="256"/>
      <c r="S202" s="258"/>
      <c r="AM202" s="259"/>
      <c r="AN202" s="260"/>
      <c r="AO202" s="259"/>
      <c r="AP202" s="259"/>
      <c r="AQ202" s="260"/>
      <c r="AR202" s="261"/>
      <c r="AS202" s="261"/>
      <c r="AU202" s="262"/>
      <c r="AV202" s="263"/>
      <c r="AZ202" s="101"/>
      <c r="BA202" s="103"/>
    </row>
    <row r="203" spans="1:53" s="102" customFormat="1" ht="216.75">
      <c r="A203" s="256"/>
      <c r="B203" s="266" t="s">
        <v>122</v>
      </c>
      <c r="C203" s="266"/>
      <c r="D203" s="266"/>
      <c r="E203" s="266"/>
      <c r="F203" s="266"/>
      <c r="G203" s="266"/>
      <c r="H203" s="107"/>
      <c r="I203" s="266"/>
      <c r="J203" s="266"/>
      <c r="K203" s="266"/>
      <c r="L203" s="266"/>
      <c r="M203" s="266"/>
      <c r="N203" s="266"/>
      <c r="O203" s="266"/>
      <c r="P203" s="266"/>
      <c r="Q203" s="266"/>
      <c r="R203" s="266"/>
      <c r="S203" s="275"/>
      <c r="T203" s="107"/>
      <c r="U203" s="107"/>
      <c r="V203" s="107"/>
      <c r="W203" s="107"/>
      <c r="X203" s="107"/>
      <c r="Y203" s="107"/>
      <c r="Z203" s="107"/>
      <c r="AA203" s="107"/>
      <c r="AB203" s="107"/>
      <c r="AC203" s="107"/>
      <c r="AD203" s="107"/>
      <c r="AE203" s="107"/>
      <c r="AF203" s="107"/>
      <c r="AG203" s="107"/>
      <c r="AH203" s="107"/>
      <c r="AI203" s="107"/>
      <c r="AJ203" s="107"/>
      <c r="AK203" s="107"/>
      <c r="AL203" s="107"/>
      <c r="AM203" s="280"/>
      <c r="AN203" s="264"/>
      <c r="AO203" s="280"/>
      <c r="AP203" s="280"/>
      <c r="AQ203" s="264"/>
      <c r="AR203" s="289"/>
      <c r="AS203" s="289"/>
      <c r="AT203" s="107"/>
      <c r="AU203" s="294"/>
      <c r="AV203" s="101"/>
      <c r="AW203" s="107"/>
      <c r="AZ203" s="101"/>
      <c r="BA203" s="103"/>
    </row>
    <row r="204" spans="1:53" s="102" customFormat="1" ht="229.5">
      <c r="A204" s="256"/>
      <c r="B204" s="266" t="s">
        <v>123</v>
      </c>
      <c r="C204" s="256"/>
      <c r="D204" s="256"/>
      <c r="E204" s="256"/>
      <c r="F204" s="256"/>
      <c r="G204" s="256"/>
      <c r="I204" s="256"/>
      <c r="J204" s="256"/>
      <c r="K204" s="256"/>
      <c r="L204" s="256"/>
      <c r="M204" s="256"/>
      <c r="N204" s="256"/>
      <c r="O204" s="256"/>
      <c r="P204" s="256"/>
      <c r="Q204" s="256"/>
      <c r="R204" s="256"/>
      <c r="S204" s="258"/>
      <c r="T204" s="256"/>
      <c r="U204" s="256"/>
      <c r="V204" s="256"/>
      <c r="W204" s="256"/>
      <c r="X204" s="256"/>
      <c r="Y204" s="256"/>
      <c r="Z204" s="256"/>
      <c r="AA204" s="256"/>
      <c r="AB204" s="256"/>
      <c r="AC204" s="256"/>
      <c r="AD204" s="256"/>
      <c r="AE204" s="256"/>
      <c r="AF204" s="256"/>
      <c r="AG204" s="256"/>
      <c r="AH204" s="256"/>
      <c r="AI204" s="256"/>
      <c r="AJ204" s="256"/>
      <c r="AK204" s="256"/>
      <c r="AL204" s="256"/>
      <c r="AM204" s="281"/>
      <c r="AN204" s="258"/>
      <c r="AO204" s="281"/>
      <c r="AP204" s="281"/>
      <c r="AQ204" s="265">
        <f>AQ197+AQ198+AQ199+AQ200+AQ201</f>
        <v>244064921.14154</v>
      </c>
      <c r="AR204" s="290"/>
      <c r="AS204" s="290"/>
      <c r="AT204" s="256"/>
      <c r="AU204" s="282"/>
      <c r="AV204" s="300">
        <f>AQ195-AQ204</f>
        <v>241113.4999999106</v>
      </c>
      <c r="AW204" s="256"/>
      <c r="AX204" s="184"/>
      <c r="AZ204" s="101"/>
      <c r="BA204" s="103"/>
    </row>
    <row r="205" spans="1:53" s="102" customFormat="1" ht="15">
      <c r="A205" s="256"/>
      <c r="B205" s="256"/>
      <c r="C205" s="256"/>
      <c r="D205" s="257"/>
      <c r="E205" s="257"/>
      <c r="F205" s="256"/>
      <c r="G205" s="257"/>
      <c r="I205" s="257"/>
      <c r="J205" s="256"/>
      <c r="K205" s="256"/>
      <c r="L205" s="256"/>
      <c r="M205" s="256"/>
      <c r="N205" s="256"/>
      <c r="O205" s="257"/>
      <c r="P205" s="257"/>
      <c r="Q205" s="257"/>
      <c r="R205" s="257"/>
      <c r="S205" s="265"/>
      <c r="T205" s="184"/>
      <c r="U205" s="184"/>
      <c r="V205" s="184"/>
      <c r="W205" s="184"/>
      <c r="X205" s="184"/>
      <c r="Y205" s="184"/>
      <c r="Z205" s="184"/>
      <c r="AD205" s="184"/>
      <c r="AL205" s="257"/>
      <c r="AM205" s="282"/>
      <c r="AN205" s="265"/>
      <c r="AO205" s="282"/>
      <c r="AP205" s="259"/>
      <c r="AQ205" s="267"/>
      <c r="AR205" s="261"/>
      <c r="AS205" s="261"/>
      <c r="AU205" s="262"/>
      <c r="AV205" s="101"/>
      <c r="AZ205" s="101"/>
      <c r="BA205" s="103"/>
    </row>
    <row r="206" spans="1:53" s="102" customFormat="1" ht="15">
      <c r="A206" s="256"/>
      <c r="B206" s="256"/>
      <c r="C206" s="256"/>
      <c r="D206" s="257"/>
      <c r="E206" s="257"/>
      <c r="F206" s="256"/>
      <c r="G206" s="257"/>
      <c r="I206" s="257"/>
      <c r="J206" s="256"/>
      <c r="K206" s="256"/>
      <c r="L206" s="256"/>
      <c r="M206" s="256"/>
      <c r="N206" s="256"/>
      <c r="O206" s="257"/>
      <c r="P206" s="257"/>
      <c r="Q206" s="257"/>
      <c r="R206" s="257"/>
      <c r="S206" s="265"/>
      <c r="T206" s="184"/>
      <c r="U206" s="184"/>
      <c r="V206" s="184"/>
      <c r="W206" s="184"/>
      <c r="X206" s="184"/>
      <c r="Y206" s="184"/>
      <c r="Z206" s="184"/>
      <c r="AD206" s="184"/>
      <c r="AL206" s="257"/>
      <c r="AM206" s="282"/>
      <c r="AN206" s="265"/>
      <c r="AO206" s="282"/>
      <c r="AP206" s="259"/>
      <c r="AQ206" s="260"/>
      <c r="AR206" s="261"/>
      <c r="AS206" s="261"/>
      <c r="AU206" s="262"/>
      <c r="AV206" s="101"/>
      <c r="AW206" s="267"/>
      <c r="AZ206" s="101"/>
      <c r="BA206" s="103"/>
    </row>
    <row r="207" spans="1:53" s="102" customFormat="1" ht="15">
      <c r="A207" s="256"/>
      <c r="B207" s="256"/>
      <c r="C207" s="256"/>
      <c r="D207" s="257"/>
      <c r="E207" s="257"/>
      <c r="F207" s="256"/>
      <c r="G207" s="257"/>
      <c r="I207" s="257"/>
      <c r="J207" s="256"/>
      <c r="K207" s="256"/>
      <c r="L207" s="256"/>
      <c r="M207" s="256"/>
      <c r="N207" s="256"/>
      <c r="O207" s="257"/>
      <c r="P207" s="257"/>
      <c r="Q207" s="257"/>
      <c r="R207" s="257"/>
      <c r="S207" s="265"/>
      <c r="T207" s="184"/>
      <c r="U207" s="184"/>
      <c r="V207" s="184"/>
      <c r="W207" s="184"/>
      <c r="X207" s="184"/>
      <c r="Y207" s="184"/>
      <c r="Z207" s="184"/>
      <c r="AD207" s="184"/>
      <c r="AL207" s="257"/>
      <c r="AM207" s="282"/>
      <c r="AN207" s="265"/>
      <c r="AO207" s="282"/>
      <c r="AP207" s="259"/>
      <c r="AQ207" s="267"/>
      <c r="AR207" s="261"/>
      <c r="AS207" s="261"/>
      <c r="AU207" s="262"/>
      <c r="AV207" s="101"/>
      <c r="AW207" s="267"/>
      <c r="AZ207" s="101"/>
      <c r="BA207" s="103"/>
    </row>
    <row r="208" spans="1:53" s="102" customFormat="1" ht="15">
      <c r="A208" s="256"/>
      <c r="B208" s="256"/>
      <c r="C208" s="256"/>
      <c r="D208" s="256"/>
      <c r="E208" s="256"/>
      <c r="F208" s="256"/>
      <c r="G208" s="256"/>
      <c r="I208" s="256"/>
      <c r="J208" s="256"/>
      <c r="K208" s="256"/>
      <c r="L208" s="256"/>
      <c r="M208" s="256"/>
      <c r="N208" s="256"/>
      <c r="O208" s="256"/>
      <c r="P208" s="256"/>
      <c r="Q208" s="256"/>
      <c r="R208" s="256"/>
      <c r="S208" s="258"/>
      <c r="AM208" s="259"/>
      <c r="AN208" s="260"/>
      <c r="AO208" s="259"/>
      <c r="AP208" s="259"/>
      <c r="AQ208" s="260"/>
      <c r="AR208" s="261"/>
      <c r="AS208" s="261"/>
      <c r="AU208" s="262"/>
      <c r="AV208" s="101"/>
      <c r="AZ208" s="101"/>
      <c r="BA208" s="103"/>
    </row>
    <row r="209" spans="1:53" s="102" customFormat="1" ht="15">
      <c r="A209" s="256"/>
      <c r="B209" s="256"/>
      <c r="C209" s="256"/>
      <c r="D209" s="256"/>
      <c r="E209" s="256"/>
      <c r="F209" s="256"/>
      <c r="G209" s="256"/>
      <c r="I209" s="256"/>
      <c r="J209" s="256"/>
      <c r="K209" s="256"/>
      <c r="L209" s="256"/>
      <c r="M209" s="256"/>
      <c r="N209" s="256"/>
      <c r="O209" s="256"/>
      <c r="P209" s="256"/>
      <c r="Q209" s="256"/>
      <c r="R209" s="256"/>
      <c r="S209" s="258"/>
      <c r="AM209" s="259"/>
      <c r="AN209" s="260"/>
      <c r="AO209" s="259"/>
      <c r="AP209" s="259"/>
      <c r="AQ209" s="260"/>
      <c r="AR209" s="261"/>
      <c r="AS209" s="261"/>
      <c r="AU209" s="262"/>
      <c r="AV209" s="101"/>
      <c r="AZ209" s="101"/>
      <c r="BA209" s="103"/>
    </row>
    <row r="210" spans="1:53" s="102" customFormat="1" ht="15">
      <c r="A210" s="256"/>
      <c r="B210" s="256"/>
      <c r="C210" s="256"/>
      <c r="D210" s="256"/>
      <c r="E210" s="256"/>
      <c r="F210" s="256"/>
      <c r="G210" s="256"/>
      <c r="I210" s="256"/>
      <c r="J210" s="256"/>
      <c r="K210" s="256"/>
      <c r="L210" s="256"/>
      <c r="M210" s="256"/>
      <c r="N210" s="256"/>
      <c r="O210" s="256"/>
      <c r="P210" s="256"/>
      <c r="Q210" s="256"/>
      <c r="R210" s="256"/>
      <c r="S210" s="258" t="s">
        <v>226</v>
      </c>
      <c r="AM210" s="259"/>
      <c r="AN210" s="260" t="s">
        <v>227</v>
      </c>
      <c r="AO210" s="259"/>
      <c r="AP210" s="259"/>
      <c r="AQ210" s="260"/>
      <c r="AR210" s="261"/>
      <c r="AS210" s="261"/>
      <c r="AU210" s="262"/>
      <c r="AV210" s="101"/>
      <c r="AZ210" s="101"/>
      <c r="BA210" s="103"/>
    </row>
    <row r="211" spans="1:53" s="102" customFormat="1" ht="15">
      <c r="A211" s="256"/>
      <c r="B211" s="256"/>
      <c r="C211" s="256"/>
      <c r="D211" s="256"/>
      <c r="E211" s="256"/>
      <c r="F211" s="256"/>
      <c r="G211" s="256"/>
      <c r="I211" s="256"/>
      <c r="J211" s="256"/>
      <c r="K211" s="256"/>
      <c r="L211" s="256"/>
      <c r="M211" s="256"/>
      <c r="N211" s="256"/>
      <c r="O211" s="256"/>
      <c r="P211" s="256"/>
      <c r="Q211" s="256"/>
      <c r="R211" s="256"/>
      <c r="S211" s="268">
        <f>AQ15+AQ24+AQ31+AQ38+AQ45+AQ53+AQ61+AQ68+AQ75+AQ82+AQ89+AQ96+AQ103+AQ110+AQ117+AQ124+AQ131+AQ138+AQ148+AQ155+AQ162+AQ169+AQ176+AQ183+AQ190</f>
        <v>5748789.20036</v>
      </c>
      <c r="AM211" s="259"/>
      <c r="AN211" s="267">
        <f>AQ18+AQ26+AQ33+AQ40+AQ47+AQ55+AQ63+AQ70+AQ77+AQ84+AQ91+AQ98+AQ105+AQ112+AQ119+AQ126+AQ133+AQ141+AQ150+AQ157+AQ164+AQ171+AQ178+AQ185+AQ192-AQ56</f>
        <v>2717712.6684999997</v>
      </c>
      <c r="AO211" s="259"/>
      <c r="AP211" s="259"/>
      <c r="AQ211" s="269">
        <f>AQ199-AN211</f>
        <v>-200670</v>
      </c>
      <c r="AR211" s="261"/>
      <c r="AS211" s="261"/>
      <c r="AU211" s="262"/>
      <c r="AV211" s="101"/>
      <c r="AZ211" s="101"/>
      <c r="BA211" s="103"/>
    </row>
    <row r="212" spans="1:53" s="102" customFormat="1" ht="15">
      <c r="A212" s="256"/>
      <c r="B212" s="256"/>
      <c r="C212" s="256"/>
      <c r="D212" s="256"/>
      <c r="E212" s="256"/>
      <c r="F212" s="256"/>
      <c r="G212" s="256"/>
      <c r="I212" s="256"/>
      <c r="J212" s="256"/>
      <c r="K212" s="256"/>
      <c r="L212" s="256"/>
      <c r="M212" s="256"/>
      <c r="N212" s="256"/>
      <c r="O212" s="256"/>
      <c r="P212" s="256"/>
      <c r="Q212" s="256"/>
      <c r="R212" s="256"/>
      <c r="S212" s="258" t="s">
        <v>228</v>
      </c>
      <c r="AM212" s="259"/>
      <c r="AN212" s="260"/>
      <c r="AO212" s="259"/>
      <c r="AP212" s="259"/>
      <c r="AQ212" s="260"/>
      <c r="AR212" s="261"/>
      <c r="AS212" s="261"/>
      <c r="AU212" s="262"/>
      <c r="AV212" s="101"/>
      <c r="AZ212" s="101"/>
      <c r="BA212" s="103"/>
    </row>
    <row r="213" spans="1:53" s="102" customFormat="1" ht="15">
      <c r="A213" s="256"/>
      <c r="B213" s="256"/>
      <c r="C213" s="256"/>
      <c r="D213" s="256"/>
      <c r="E213" s="256"/>
      <c r="F213" s="256"/>
      <c r="G213" s="256"/>
      <c r="I213" s="256"/>
      <c r="J213" s="256"/>
      <c r="K213" s="256"/>
      <c r="L213" s="256"/>
      <c r="M213" s="256"/>
      <c r="N213" s="256"/>
      <c r="O213" s="256"/>
      <c r="P213" s="256"/>
      <c r="Q213" s="256"/>
      <c r="R213" s="256"/>
      <c r="S213" s="265">
        <f>AQ19+AQ27+AQ34+AQ41+AQ49+AQ57+AQ64+AQ71+AQ78+AQ85+AQ92+AQ99+AQ106+AQ113+AQ120+AQ127+AQ134+AQ142+AQ151+AQ158+AQ165+AQ172+AQ179+AQ186+AQ193</f>
        <v>11194861.4</v>
      </c>
      <c r="AM213" s="259"/>
      <c r="AN213" s="260"/>
      <c r="AO213" s="259"/>
      <c r="AP213" s="259"/>
      <c r="AQ213" s="260"/>
      <c r="AR213" s="261"/>
      <c r="AS213" s="261"/>
      <c r="AU213" s="262"/>
      <c r="AV213" s="101"/>
      <c r="AZ213" s="101"/>
      <c r="BA213" s="103"/>
    </row>
    <row r="214" spans="1:53" s="102" customFormat="1" ht="15">
      <c r="A214" s="256"/>
      <c r="B214" s="256"/>
      <c r="C214" s="256"/>
      <c r="D214" s="256"/>
      <c r="E214" s="256"/>
      <c r="F214" s="256"/>
      <c r="G214" s="256"/>
      <c r="I214" s="256"/>
      <c r="J214" s="256"/>
      <c r="K214" s="256"/>
      <c r="L214" s="256"/>
      <c r="M214" s="256"/>
      <c r="N214" s="256"/>
      <c r="O214" s="256"/>
      <c r="P214" s="256"/>
      <c r="Q214" s="256"/>
      <c r="R214" s="256"/>
      <c r="S214" s="258" t="s">
        <v>229</v>
      </c>
      <c r="AM214" s="259"/>
      <c r="AN214" s="260"/>
      <c r="AO214" s="259"/>
      <c r="AP214" s="259"/>
      <c r="AQ214" s="260"/>
      <c r="AR214" s="261"/>
      <c r="AS214" s="261"/>
      <c r="AU214" s="262"/>
      <c r="AV214" s="101"/>
      <c r="AZ214" s="101"/>
      <c r="BA214" s="103"/>
    </row>
    <row r="215" spans="1:53" s="102" customFormat="1" ht="15">
      <c r="A215" s="256"/>
      <c r="B215" s="256"/>
      <c r="C215" s="256"/>
      <c r="D215" s="256"/>
      <c r="E215" s="256"/>
      <c r="F215" s="256"/>
      <c r="G215" s="256"/>
      <c r="I215" s="256"/>
      <c r="J215" s="256"/>
      <c r="K215" s="256"/>
      <c r="L215" s="256"/>
      <c r="M215" s="256"/>
      <c r="N215" s="256"/>
      <c r="O215" s="256"/>
      <c r="P215" s="256"/>
      <c r="Q215" s="256"/>
      <c r="R215" s="256"/>
      <c r="S215" s="265">
        <f>AQ21+AQ28+AQ35+AQ42+AQ50+AQ58+AQ65+AQ72+AQ79+AQ86+AQ93+AQ100+AQ107+AQ114+AQ121+AQ128+AQ135+AQ143+AQ152+AQ159+AQ166+AQ173+AQ180+AQ187+AQ194</f>
        <v>52211600.14999999</v>
      </c>
      <c r="AM215" s="259"/>
      <c r="AN215" s="260"/>
      <c r="AO215" s="259"/>
      <c r="AP215" s="259"/>
      <c r="AQ215" s="260"/>
      <c r="AR215" s="261"/>
      <c r="AS215" s="261"/>
      <c r="AU215" s="262"/>
      <c r="AV215" s="101"/>
      <c r="AZ215" s="101"/>
      <c r="BA215" s="10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NovopashinaNY</dc:creator>
  <cp:keywords/>
  <dc:description/>
  <cp:lastModifiedBy>Маликов Сергей Юрьевич</cp:lastModifiedBy>
  <cp:lastPrinted>2015-03-18T11:46:02Z</cp:lastPrinted>
  <dcterms:created xsi:type="dcterms:W3CDTF">2011-03-28T05:59:37Z</dcterms:created>
  <dcterms:modified xsi:type="dcterms:W3CDTF">2015-05-08T10:35:12Z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